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240" yWindow="-90" windowWidth="10080" windowHeight="11835" tabRatio="598"/>
  </bookViews>
  <sheets>
    <sheet name="Overview" sheetId="52" r:id="rId1"/>
    <sheet name="27-10-2007" sheetId="18" r:id="rId2"/>
    <sheet name="11-12-2007" sheetId="56" r:id="rId3"/>
  </sheets>
  <calcPr calcId="145621" iterate="1"/>
</workbook>
</file>

<file path=xl/calcChain.xml><?xml version="1.0" encoding="utf-8"?>
<calcChain xmlns="http://schemas.openxmlformats.org/spreadsheetml/2006/main">
  <c r="H34" i="56" l="1"/>
  <c r="H35" i="56"/>
  <c r="H36" i="56"/>
  <c r="H37" i="56"/>
  <c r="H38" i="56"/>
  <c r="H39" i="56"/>
  <c r="H40" i="56"/>
  <c r="H41" i="56"/>
  <c r="H42" i="56"/>
  <c r="H43" i="56"/>
  <c r="H44" i="56"/>
  <c r="H45" i="56"/>
  <c r="H46" i="56"/>
  <c r="H47" i="56"/>
  <c r="H48" i="56"/>
  <c r="H49" i="56"/>
  <c r="H50" i="56"/>
  <c r="H51" i="56"/>
  <c r="H52" i="56"/>
  <c r="H53" i="56"/>
  <c r="H54" i="56"/>
  <c r="H55" i="56"/>
  <c r="H56" i="56"/>
  <c r="H57" i="56"/>
  <c r="H58" i="56"/>
  <c r="H59" i="56"/>
  <c r="H60" i="56"/>
  <c r="H61" i="56"/>
  <c r="H62" i="56"/>
  <c r="H63" i="56"/>
  <c r="H64" i="56"/>
  <c r="H65" i="56"/>
  <c r="H66" i="56"/>
  <c r="H67" i="56"/>
  <c r="H68" i="56"/>
  <c r="H69" i="56"/>
  <c r="H70" i="56"/>
  <c r="H71" i="56"/>
  <c r="H72" i="56"/>
  <c r="H73" i="56"/>
  <c r="H74" i="56"/>
  <c r="H75" i="56"/>
  <c r="H76" i="56"/>
  <c r="H77" i="56"/>
  <c r="H78" i="56"/>
  <c r="H79" i="56"/>
  <c r="H80" i="56"/>
  <c r="H81" i="56"/>
  <c r="H82" i="56"/>
  <c r="H83" i="56"/>
  <c r="H84" i="56"/>
  <c r="H85" i="56"/>
  <c r="H86" i="56"/>
  <c r="H87" i="56"/>
  <c r="H88" i="56"/>
  <c r="H89" i="56"/>
  <c r="H90" i="56"/>
  <c r="H91" i="56"/>
  <c r="H92" i="56"/>
  <c r="H93" i="56"/>
  <c r="H94" i="56"/>
  <c r="H95" i="56"/>
  <c r="H96" i="56"/>
  <c r="H97" i="56"/>
  <c r="H98" i="56"/>
  <c r="H99" i="56"/>
  <c r="H100" i="56"/>
  <c r="H101" i="56"/>
  <c r="H102" i="56"/>
  <c r="H103" i="56"/>
  <c r="H104" i="56"/>
  <c r="H105" i="56"/>
  <c r="H106" i="56"/>
  <c r="H107" i="56"/>
  <c r="H108" i="56"/>
  <c r="H109" i="56"/>
  <c r="H110" i="56"/>
  <c r="H111" i="56"/>
  <c r="H112" i="56"/>
  <c r="H113" i="56"/>
  <c r="H114" i="56"/>
  <c r="H115" i="56"/>
  <c r="H116" i="56"/>
  <c r="H117" i="56"/>
  <c r="H118" i="56"/>
  <c r="H119" i="56"/>
  <c r="H120" i="56"/>
  <c r="H121" i="56"/>
  <c r="H122" i="56"/>
  <c r="H123" i="56"/>
  <c r="H124" i="56"/>
  <c r="H125" i="56"/>
  <c r="H126" i="56"/>
  <c r="H127" i="56"/>
  <c r="H128" i="56"/>
  <c r="H129" i="56"/>
  <c r="H130" i="56"/>
  <c r="H131" i="56"/>
  <c r="H132" i="56"/>
  <c r="H133" i="56"/>
  <c r="H134" i="56"/>
  <c r="H135" i="56"/>
  <c r="H136" i="56"/>
  <c r="H137" i="56"/>
  <c r="H138" i="56"/>
  <c r="H139" i="56"/>
  <c r="H140" i="56"/>
  <c r="H141" i="56"/>
  <c r="H142" i="56"/>
  <c r="H143" i="56"/>
  <c r="H144" i="56"/>
  <c r="H145" i="56"/>
  <c r="H146" i="56"/>
  <c r="H147" i="56"/>
  <c r="H148" i="56"/>
  <c r="H149" i="56"/>
  <c r="H150" i="56"/>
  <c r="H151" i="56"/>
  <c r="H152" i="56"/>
  <c r="H153" i="56"/>
  <c r="H154" i="56"/>
  <c r="H155" i="56"/>
  <c r="H156" i="56"/>
  <c r="H157" i="56"/>
  <c r="H158" i="56"/>
  <c r="H159" i="56"/>
  <c r="H160" i="56"/>
  <c r="H161" i="56"/>
  <c r="H162" i="56"/>
  <c r="H163" i="56"/>
  <c r="H164" i="56"/>
  <c r="H165" i="56"/>
  <c r="H166" i="56"/>
  <c r="H167" i="56"/>
  <c r="H168" i="56"/>
  <c r="I34" i="56"/>
  <c r="I35" i="56"/>
  <c r="I36" i="56"/>
  <c r="I37" i="56"/>
  <c r="I38" i="56"/>
  <c r="I39" i="56"/>
  <c r="I40" i="56"/>
  <c r="I41" i="56"/>
  <c r="I42" i="56"/>
  <c r="I43" i="56"/>
  <c r="I44" i="56"/>
  <c r="I45" i="56"/>
  <c r="I46" i="56"/>
  <c r="I47" i="56"/>
  <c r="I48" i="56"/>
  <c r="I49" i="56"/>
  <c r="I50" i="56"/>
  <c r="I51" i="56"/>
  <c r="I52" i="56"/>
  <c r="I53" i="56"/>
  <c r="I54" i="56"/>
  <c r="I55" i="56"/>
  <c r="I56" i="56"/>
  <c r="I57" i="56"/>
  <c r="I58" i="56"/>
  <c r="I59" i="56"/>
  <c r="I60" i="56"/>
  <c r="I61" i="56"/>
  <c r="I62" i="56"/>
  <c r="I63" i="56"/>
  <c r="I64" i="56"/>
  <c r="I65" i="56"/>
  <c r="I66" i="56"/>
  <c r="I67" i="56"/>
  <c r="I68" i="56"/>
  <c r="I69" i="56"/>
  <c r="I70" i="56"/>
  <c r="I71" i="56"/>
  <c r="I72" i="56"/>
  <c r="I73" i="56"/>
  <c r="I74" i="56"/>
  <c r="I75" i="56"/>
  <c r="I76" i="56"/>
  <c r="I77" i="56"/>
  <c r="I78" i="56"/>
  <c r="I79" i="56"/>
  <c r="I80" i="56"/>
  <c r="I81" i="56"/>
  <c r="I82" i="56"/>
  <c r="I83" i="56"/>
  <c r="I84" i="56"/>
  <c r="I85" i="56"/>
  <c r="I86" i="56"/>
  <c r="I87" i="56"/>
  <c r="I88" i="56"/>
  <c r="I89" i="56"/>
  <c r="I90" i="56"/>
  <c r="I91" i="56"/>
  <c r="I92" i="56"/>
  <c r="I93" i="56"/>
  <c r="I94" i="56"/>
  <c r="I95" i="56"/>
  <c r="I96" i="56"/>
  <c r="I97" i="56"/>
  <c r="I98" i="56"/>
  <c r="I99" i="56"/>
  <c r="I100" i="56"/>
  <c r="I101" i="56"/>
  <c r="I102" i="56"/>
  <c r="I103" i="56"/>
  <c r="I104" i="56"/>
  <c r="I105" i="56"/>
  <c r="I106" i="56"/>
  <c r="I107" i="56"/>
  <c r="I108" i="56"/>
  <c r="I109" i="56"/>
  <c r="I110" i="56"/>
  <c r="I111" i="56"/>
  <c r="I112" i="56"/>
  <c r="I113" i="56"/>
  <c r="I114" i="56"/>
  <c r="I115" i="56"/>
  <c r="I116" i="56"/>
  <c r="I117" i="56"/>
  <c r="I118" i="56"/>
  <c r="I119" i="56"/>
  <c r="I120" i="56"/>
  <c r="I121" i="56"/>
  <c r="I122" i="56"/>
  <c r="I123" i="56"/>
  <c r="I124" i="56"/>
  <c r="I125" i="56"/>
  <c r="I126" i="56"/>
  <c r="I127" i="56"/>
  <c r="I128" i="56"/>
  <c r="I129" i="56"/>
  <c r="I130" i="56"/>
  <c r="I131" i="56"/>
  <c r="I132" i="56"/>
  <c r="I133" i="56"/>
  <c r="I134" i="56"/>
  <c r="I135" i="56"/>
  <c r="I136" i="56"/>
  <c r="I137" i="56"/>
  <c r="I138" i="56"/>
  <c r="I139" i="56"/>
  <c r="I140" i="56"/>
  <c r="I141" i="56"/>
  <c r="I142" i="56"/>
  <c r="I143" i="56"/>
  <c r="I144" i="56"/>
  <c r="I145" i="56"/>
  <c r="I146" i="56"/>
  <c r="I147" i="56"/>
  <c r="I148" i="56"/>
  <c r="I149" i="56"/>
  <c r="I150" i="56"/>
  <c r="I151" i="56"/>
  <c r="I152" i="56"/>
  <c r="I153" i="56"/>
  <c r="I154" i="56"/>
  <c r="I155" i="56"/>
  <c r="I156" i="56"/>
  <c r="I157" i="56"/>
  <c r="I158" i="56"/>
  <c r="I159" i="56"/>
  <c r="I160" i="56"/>
  <c r="I161" i="56"/>
  <c r="I162" i="56"/>
  <c r="I163" i="56"/>
  <c r="I164" i="56"/>
  <c r="I165" i="56"/>
  <c r="I166" i="56"/>
  <c r="I167" i="56"/>
  <c r="I168" i="56"/>
  <c r="I33" i="56"/>
  <c r="H33" i="56"/>
  <c r="I34" i="18"/>
  <c r="I35" i="18"/>
  <c r="I36" i="18"/>
  <c r="I37" i="18"/>
  <c r="I38" i="18"/>
  <c r="I39" i="18"/>
  <c r="I40" i="18"/>
  <c r="I41" i="18"/>
  <c r="I42" i="18"/>
  <c r="I43" i="18"/>
  <c r="I44" i="18"/>
  <c r="I45" i="18"/>
  <c r="I46" i="18"/>
  <c r="I47" i="18"/>
  <c r="I48" i="18"/>
  <c r="I49" i="18"/>
  <c r="I50" i="18"/>
  <c r="I51" i="18"/>
  <c r="I52" i="18"/>
  <c r="I53" i="18"/>
  <c r="I54" i="18"/>
  <c r="I55" i="18"/>
  <c r="I56" i="18"/>
  <c r="I57" i="18"/>
  <c r="I58" i="18"/>
  <c r="I59" i="18"/>
  <c r="I60" i="18"/>
  <c r="I61" i="18"/>
  <c r="I62" i="18"/>
  <c r="I63" i="18"/>
  <c r="I64" i="18"/>
  <c r="I65" i="18"/>
  <c r="I66" i="18"/>
  <c r="I67" i="18"/>
  <c r="I68" i="18"/>
  <c r="I69" i="18"/>
  <c r="I70" i="18"/>
  <c r="I71" i="18"/>
  <c r="I72" i="18"/>
  <c r="I73" i="18"/>
  <c r="I74" i="18"/>
  <c r="I75" i="18"/>
  <c r="I76" i="18"/>
  <c r="I77" i="18"/>
  <c r="I78" i="18"/>
  <c r="I79" i="18"/>
  <c r="I80" i="18"/>
  <c r="I81" i="18"/>
  <c r="I82" i="18"/>
  <c r="I83" i="18"/>
  <c r="I84" i="18"/>
  <c r="I85" i="18"/>
  <c r="I86" i="18"/>
  <c r="I87" i="18"/>
  <c r="I88" i="18"/>
  <c r="I89" i="18"/>
  <c r="I90" i="18"/>
  <c r="I91" i="18"/>
  <c r="I92" i="18"/>
  <c r="I93" i="18"/>
  <c r="I94" i="18"/>
  <c r="I95" i="18"/>
  <c r="I96" i="18"/>
  <c r="I97" i="18"/>
  <c r="I98" i="18"/>
  <c r="I99" i="18"/>
  <c r="I100" i="18"/>
  <c r="I101" i="18"/>
  <c r="I102" i="18"/>
  <c r="I103" i="18"/>
  <c r="I104" i="18"/>
  <c r="I105" i="18"/>
  <c r="I106" i="18"/>
  <c r="I107" i="18"/>
  <c r="I108" i="18"/>
  <c r="I109" i="18"/>
  <c r="I110" i="18"/>
  <c r="I111" i="18"/>
  <c r="I112" i="18"/>
  <c r="I113" i="18"/>
  <c r="I114" i="18"/>
  <c r="I115" i="18"/>
  <c r="I116" i="18"/>
  <c r="I117" i="18"/>
  <c r="I118" i="18"/>
  <c r="I119" i="18"/>
  <c r="I120" i="18"/>
  <c r="I121" i="18"/>
  <c r="I122" i="18"/>
  <c r="I123" i="18"/>
  <c r="I124" i="18"/>
  <c r="I125" i="18"/>
  <c r="I126" i="18"/>
  <c r="I127" i="18"/>
  <c r="I128" i="18"/>
  <c r="I129" i="18"/>
  <c r="I130" i="18"/>
  <c r="I131" i="18"/>
  <c r="I132" i="18"/>
  <c r="I133" i="18"/>
  <c r="I134" i="18"/>
  <c r="I135" i="18"/>
  <c r="I136" i="18"/>
  <c r="I137" i="18"/>
  <c r="I138" i="18"/>
  <c r="I139" i="18"/>
  <c r="I140" i="18"/>
  <c r="I141" i="18"/>
  <c r="I142" i="18"/>
  <c r="I143" i="18"/>
  <c r="I144" i="18"/>
  <c r="I145" i="18"/>
  <c r="I146" i="18"/>
  <c r="I147" i="18"/>
  <c r="I148" i="18"/>
  <c r="I149" i="18"/>
  <c r="I150" i="18"/>
  <c r="I151" i="18"/>
  <c r="I152" i="18"/>
  <c r="I153" i="18"/>
  <c r="I154" i="18"/>
  <c r="I155" i="18"/>
  <c r="I156" i="18"/>
  <c r="I157" i="18"/>
  <c r="I158" i="18"/>
  <c r="I159" i="18"/>
  <c r="I160" i="18"/>
  <c r="I161" i="18"/>
  <c r="I162" i="18"/>
  <c r="I163" i="18"/>
  <c r="I164" i="18"/>
  <c r="I165" i="18"/>
  <c r="I166" i="18"/>
  <c r="I167" i="18"/>
  <c r="I168" i="18"/>
  <c r="I33" i="18"/>
  <c r="H34" i="18"/>
  <c r="H35" i="18"/>
  <c r="H36" i="18"/>
  <c r="H37" i="18"/>
  <c r="H38" i="18"/>
  <c r="H39" i="18"/>
  <c r="H40" i="18"/>
  <c r="H41" i="18"/>
  <c r="H42" i="18"/>
  <c r="H43" i="18"/>
  <c r="H44" i="18"/>
  <c r="H45" i="18"/>
  <c r="H46" i="18"/>
  <c r="H47" i="18"/>
  <c r="H48" i="18"/>
  <c r="H49" i="18"/>
  <c r="H50" i="18"/>
  <c r="H51" i="18"/>
  <c r="H52" i="18"/>
  <c r="H53" i="18"/>
  <c r="H54" i="18"/>
  <c r="H55" i="18"/>
  <c r="H56" i="18"/>
  <c r="H57" i="18"/>
  <c r="H58" i="18"/>
  <c r="H59" i="18"/>
  <c r="H60" i="18"/>
  <c r="H61" i="18"/>
  <c r="H62" i="18"/>
  <c r="H63" i="18"/>
  <c r="H64" i="18"/>
  <c r="H65" i="18"/>
  <c r="H66" i="18"/>
  <c r="H67" i="18"/>
  <c r="H68" i="18"/>
  <c r="H69" i="18"/>
  <c r="H70" i="18"/>
  <c r="H71" i="18"/>
  <c r="H72" i="18"/>
  <c r="H73" i="18"/>
  <c r="H74" i="18"/>
  <c r="H75" i="18"/>
  <c r="H76" i="18"/>
  <c r="H77" i="18"/>
  <c r="H78" i="18"/>
  <c r="H79" i="18"/>
  <c r="H80" i="18"/>
  <c r="H81" i="18"/>
  <c r="H82" i="18"/>
  <c r="H83" i="18"/>
  <c r="H84" i="18"/>
  <c r="H85" i="18"/>
  <c r="H86" i="18"/>
  <c r="H87" i="18"/>
  <c r="H88" i="18"/>
  <c r="H89" i="18"/>
  <c r="H90" i="18"/>
  <c r="H91" i="18"/>
  <c r="H92" i="18"/>
  <c r="H93" i="18"/>
  <c r="H94" i="18"/>
  <c r="H95" i="18"/>
  <c r="H96" i="18"/>
  <c r="H97" i="18"/>
  <c r="H98" i="18"/>
  <c r="H99" i="18"/>
  <c r="H100" i="18"/>
  <c r="H101" i="18"/>
  <c r="H102" i="18"/>
  <c r="H103" i="18"/>
  <c r="H104" i="18"/>
  <c r="H105" i="18"/>
  <c r="H106" i="18"/>
  <c r="H107" i="18"/>
  <c r="H108" i="18"/>
  <c r="H109" i="18"/>
  <c r="H110" i="18"/>
  <c r="H111" i="18"/>
  <c r="H112" i="18"/>
  <c r="H113" i="18"/>
  <c r="H114" i="18"/>
  <c r="H115" i="18"/>
  <c r="H116" i="18"/>
  <c r="H117" i="18"/>
  <c r="H118" i="18"/>
  <c r="H119" i="18"/>
  <c r="H120" i="18"/>
  <c r="H121" i="18"/>
  <c r="H122" i="18"/>
  <c r="H123" i="18"/>
  <c r="H124" i="18"/>
  <c r="H125" i="18"/>
  <c r="H126" i="18"/>
  <c r="H127" i="18"/>
  <c r="H128" i="18"/>
  <c r="H129" i="18"/>
  <c r="H130" i="18"/>
  <c r="H131" i="18"/>
  <c r="H132" i="18"/>
  <c r="H133" i="18"/>
  <c r="H134" i="18"/>
  <c r="H135" i="18"/>
  <c r="H136" i="18"/>
  <c r="H137" i="18"/>
  <c r="H138" i="18"/>
  <c r="H139" i="18"/>
  <c r="H140" i="18"/>
  <c r="H141" i="18"/>
  <c r="H142" i="18"/>
  <c r="H143" i="18"/>
  <c r="H144" i="18"/>
  <c r="H145" i="18"/>
  <c r="H146" i="18"/>
  <c r="H147" i="18"/>
  <c r="H148" i="18"/>
  <c r="H149" i="18"/>
  <c r="H150" i="18"/>
  <c r="H151" i="18"/>
  <c r="H152" i="18"/>
  <c r="H153" i="18"/>
  <c r="H154" i="18"/>
  <c r="H155" i="18"/>
  <c r="H156" i="18"/>
  <c r="H157" i="18"/>
  <c r="H158" i="18"/>
  <c r="H159" i="18"/>
  <c r="H160" i="18"/>
  <c r="H161" i="18"/>
  <c r="H162" i="18"/>
  <c r="H163" i="18"/>
  <c r="H164" i="18"/>
  <c r="H165" i="18"/>
  <c r="H166" i="18"/>
  <c r="H167" i="18"/>
  <c r="H168" i="18"/>
  <c r="H33" i="18"/>
  <c r="B42" i="56" l="1"/>
  <c r="B43" i="56"/>
  <c r="B44" i="56"/>
  <c r="I12" i="56"/>
  <c r="I11" i="56"/>
  <c r="I10" i="56"/>
  <c r="I9" i="56"/>
  <c r="I8" i="56"/>
  <c r="I7" i="56"/>
  <c r="I6" i="56"/>
  <c r="I5" i="56"/>
  <c r="G13" i="56"/>
  <c r="G12" i="56"/>
  <c r="G11" i="56"/>
  <c r="G10" i="56"/>
  <c r="G9" i="56"/>
  <c r="G8" i="56"/>
  <c r="G7" i="56"/>
  <c r="G6" i="56"/>
  <c r="G5" i="56"/>
  <c r="A43" i="56"/>
  <c r="A44" i="56" s="1"/>
  <c r="A41" i="56"/>
  <c r="B41" i="56" s="1"/>
  <c r="C23" i="56"/>
  <c r="C22" i="56"/>
  <c r="C21" i="56"/>
  <c r="C20" i="56"/>
  <c r="C19" i="56"/>
  <c r="C18" i="56"/>
  <c r="C14" i="56"/>
  <c r="B42" i="18"/>
  <c r="B43" i="18"/>
  <c r="B44" i="18"/>
  <c r="I11" i="18"/>
  <c r="I10" i="18"/>
  <c r="I9" i="18"/>
  <c r="I8" i="18"/>
  <c r="I7" i="18"/>
  <c r="I6" i="18"/>
  <c r="I5" i="18"/>
  <c r="G14" i="18"/>
  <c r="G13" i="18"/>
  <c r="G12" i="18"/>
  <c r="G11" i="18"/>
  <c r="G10" i="18"/>
  <c r="G9" i="18"/>
  <c r="G8" i="18"/>
  <c r="G7" i="18"/>
  <c r="G6" i="18"/>
  <c r="G5" i="18"/>
  <c r="A40" i="56" l="1"/>
  <c r="B40" i="56" s="1"/>
  <c r="C26" i="56"/>
  <c r="C30" i="56" s="1"/>
  <c r="C29" i="56" s="1"/>
  <c r="F40" i="56"/>
  <c r="G40" i="56" s="1"/>
  <c r="E44" i="56"/>
  <c r="A45" i="56"/>
  <c r="B45" i="56" s="1"/>
  <c r="E40" i="56"/>
  <c r="F41" i="56"/>
  <c r="G41" i="56" s="1"/>
  <c r="F42" i="56"/>
  <c r="G42" i="56" s="1"/>
  <c r="E43" i="56"/>
  <c r="A39" i="56"/>
  <c r="B39" i="56" s="1"/>
  <c r="E41" i="56"/>
  <c r="E42" i="56"/>
  <c r="D19" i="52"/>
  <c r="C27" i="56" l="1"/>
  <c r="C28" i="56" s="1"/>
  <c r="F43" i="56" s="1"/>
  <c r="G43" i="56" s="1"/>
  <c r="F44" i="56"/>
  <c r="G44" i="56" s="1"/>
  <c r="E39" i="56"/>
  <c r="F39" i="56"/>
  <c r="G39" i="56" s="1"/>
  <c r="A38" i="56"/>
  <c r="B38" i="56" s="1"/>
  <c r="A46" i="56"/>
  <c r="B46" i="56" s="1"/>
  <c r="F45" i="56"/>
  <c r="G45" i="56" s="1"/>
  <c r="E45" i="56"/>
  <c r="C23" i="18"/>
  <c r="C22" i="18"/>
  <c r="C21" i="18"/>
  <c r="C20" i="18"/>
  <c r="C19" i="18"/>
  <c r="C18" i="18"/>
  <c r="E46" i="56" l="1"/>
  <c r="A47" i="56"/>
  <c r="B47" i="56" s="1"/>
  <c r="F46" i="56"/>
  <c r="G46" i="56" s="1"/>
  <c r="F38" i="56"/>
  <c r="G38" i="56" s="1"/>
  <c r="A37" i="56"/>
  <c r="B37" i="56" s="1"/>
  <c r="E38" i="56"/>
  <c r="A43" i="18"/>
  <c r="E42" i="18"/>
  <c r="A41" i="18"/>
  <c r="B41" i="18" s="1"/>
  <c r="C14" i="18"/>
  <c r="E37" i="56" l="1"/>
  <c r="F37" i="56"/>
  <c r="G37" i="56" s="1"/>
  <c r="A36" i="56"/>
  <c r="B36" i="56" s="1"/>
  <c r="A48" i="56"/>
  <c r="B48" i="56" s="1"/>
  <c r="F47" i="56"/>
  <c r="G47" i="56" s="1"/>
  <c r="E47" i="56"/>
  <c r="A40" i="18"/>
  <c r="B40" i="18" s="1"/>
  <c r="C26" i="18"/>
  <c r="A39" i="18"/>
  <c r="B39" i="18" s="1"/>
  <c r="E40" i="18"/>
  <c r="E41" i="18"/>
  <c r="A44" i="18"/>
  <c r="A45" i="18" s="1"/>
  <c r="B45" i="18" s="1"/>
  <c r="E43" i="18"/>
  <c r="E48" i="56" l="1"/>
  <c r="A49" i="56"/>
  <c r="B49" i="56" s="1"/>
  <c r="F48" i="56"/>
  <c r="G48" i="56" s="1"/>
  <c r="F36" i="56"/>
  <c r="G36" i="56" s="1"/>
  <c r="A35" i="56"/>
  <c r="B35" i="56" s="1"/>
  <c r="E36" i="56"/>
  <c r="F39" i="18"/>
  <c r="G39" i="18" s="1"/>
  <c r="F41" i="18"/>
  <c r="G41" i="18" s="1"/>
  <c r="F40" i="18"/>
  <c r="G40" i="18" s="1"/>
  <c r="F42" i="18"/>
  <c r="G42" i="18" s="1"/>
  <c r="A46" i="18"/>
  <c r="E45" i="18"/>
  <c r="E39" i="18"/>
  <c r="C30" i="18"/>
  <c r="A38" i="18"/>
  <c r="B38" i="18" s="1"/>
  <c r="E44" i="18"/>
  <c r="F38" i="18" l="1"/>
  <c r="G38" i="18" s="1"/>
  <c r="A47" i="18"/>
  <c r="B46" i="18"/>
  <c r="E35" i="56"/>
  <c r="F35" i="56"/>
  <c r="G35" i="56" s="1"/>
  <c r="A34" i="56"/>
  <c r="B34" i="56" s="1"/>
  <c r="A50" i="56"/>
  <c r="B50" i="56" s="1"/>
  <c r="F49" i="56"/>
  <c r="G49" i="56" s="1"/>
  <c r="E49" i="56"/>
  <c r="C29" i="18"/>
  <c r="C27" i="18"/>
  <c r="C28" i="18" s="1"/>
  <c r="E38" i="18"/>
  <c r="A37" i="18"/>
  <c r="E37" i="18" s="1"/>
  <c r="A36" i="18"/>
  <c r="E46" i="18"/>
  <c r="A48" i="18" l="1"/>
  <c r="B47" i="18"/>
  <c r="B36" i="18"/>
  <c r="F36" i="18"/>
  <c r="B37" i="18"/>
  <c r="F37" i="18"/>
  <c r="G37" i="18" s="1"/>
  <c r="E50" i="56"/>
  <c r="A51" i="56"/>
  <c r="B51" i="56" s="1"/>
  <c r="F50" i="56"/>
  <c r="G50" i="56" s="1"/>
  <c r="F34" i="56"/>
  <c r="G34" i="56" s="1"/>
  <c r="A33" i="56"/>
  <c r="B33" i="56" s="1"/>
  <c r="E34" i="56"/>
  <c r="F47" i="18"/>
  <c r="G47" i="18" s="1"/>
  <c r="F48" i="18"/>
  <c r="F44" i="18"/>
  <c r="G44" i="18" s="1"/>
  <c r="F45" i="18"/>
  <c r="G45" i="18" s="1"/>
  <c r="F46" i="18"/>
  <c r="G46" i="18" s="1"/>
  <c r="F43" i="18"/>
  <c r="G43" i="18" s="1"/>
  <c r="E36" i="18"/>
  <c r="A35" i="18"/>
  <c r="G36" i="18"/>
  <c r="E47" i="18"/>
  <c r="B35" i="18" l="1"/>
  <c r="F35" i="18"/>
  <c r="G35" i="18" s="1"/>
  <c r="A49" i="18"/>
  <c r="B48" i="18"/>
  <c r="E33" i="56"/>
  <c r="F33" i="56"/>
  <c r="G33" i="56" s="1"/>
  <c r="A52" i="56"/>
  <c r="B52" i="56" s="1"/>
  <c r="F51" i="56"/>
  <c r="G51" i="56" s="1"/>
  <c r="E51" i="56"/>
  <c r="E35" i="18"/>
  <c r="A34" i="18"/>
  <c r="G48" i="18"/>
  <c r="E48" i="18"/>
  <c r="B34" i="18" l="1"/>
  <c r="F34" i="18"/>
  <c r="G34" i="18" s="1"/>
  <c r="A50" i="18"/>
  <c r="B49" i="18"/>
  <c r="F49" i="18"/>
  <c r="E52" i="56"/>
  <c r="A53" i="56"/>
  <c r="B53" i="56" s="1"/>
  <c r="F52" i="56"/>
  <c r="G52" i="56" s="1"/>
  <c r="E34" i="18"/>
  <c r="A33" i="18"/>
  <c r="G49" i="18"/>
  <c r="E49" i="18"/>
  <c r="B33" i="18" l="1"/>
  <c r="F33" i="18"/>
  <c r="G33" i="18" s="1"/>
  <c r="A51" i="18"/>
  <c r="B50" i="18"/>
  <c r="F50" i="18"/>
  <c r="A54" i="56"/>
  <c r="B54" i="56" s="1"/>
  <c r="F53" i="56"/>
  <c r="G53" i="56" s="1"/>
  <c r="E53" i="56"/>
  <c r="E33" i="18"/>
  <c r="G50" i="18"/>
  <c r="E50" i="18"/>
  <c r="A52" i="18" l="1"/>
  <c r="B51" i="18"/>
  <c r="F51" i="18"/>
  <c r="E54" i="56"/>
  <c r="A55" i="56"/>
  <c r="B55" i="56" s="1"/>
  <c r="F54" i="56"/>
  <c r="G54" i="56" s="1"/>
  <c r="G51" i="18"/>
  <c r="E51" i="18"/>
  <c r="A53" i="18" l="1"/>
  <c r="B52" i="18"/>
  <c r="F52" i="18"/>
  <c r="A56" i="56"/>
  <c r="B56" i="56" s="1"/>
  <c r="F55" i="56"/>
  <c r="G55" i="56" s="1"/>
  <c r="E55" i="56"/>
  <c r="G52" i="18"/>
  <c r="E52" i="18"/>
  <c r="A54" i="18" l="1"/>
  <c r="B53" i="18"/>
  <c r="F53" i="18"/>
  <c r="G53" i="18" s="1"/>
  <c r="E56" i="56"/>
  <c r="A57" i="56"/>
  <c r="B57" i="56" s="1"/>
  <c r="F56" i="56"/>
  <c r="G56" i="56" s="1"/>
  <c r="E53" i="18"/>
  <c r="A55" i="18" l="1"/>
  <c r="B54" i="18"/>
  <c r="F54" i="18"/>
  <c r="G54" i="18" s="1"/>
  <c r="A58" i="56"/>
  <c r="B58" i="56" s="1"/>
  <c r="F57" i="56"/>
  <c r="G57" i="56" s="1"/>
  <c r="E57" i="56"/>
  <c r="E54" i="18"/>
  <c r="A56" i="18" l="1"/>
  <c r="B55" i="18"/>
  <c r="F55" i="18"/>
  <c r="G55" i="18" s="1"/>
  <c r="E58" i="56"/>
  <c r="A59" i="56"/>
  <c r="B59" i="56" s="1"/>
  <c r="F58" i="56"/>
  <c r="G58" i="56" s="1"/>
  <c r="E55" i="18"/>
  <c r="A57" i="18" l="1"/>
  <c r="B56" i="18"/>
  <c r="F56" i="18"/>
  <c r="G56" i="18" s="1"/>
  <c r="A60" i="56"/>
  <c r="B60" i="56" s="1"/>
  <c r="F59" i="56"/>
  <c r="G59" i="56" s="1"/>
  <c r="E59" i="56"/>
  <c r="E56" i="18"/>
  <c r="A58" i="18" l="1"/>
  <c r="B57" i="18"/>
  <c r="F57" i="18"/>
  <c r="G57" i="18" s="1"/>
  <c r="E60" i="56"/>
  <c r="A61" i="56"/>
  <c r="B61" i="56" s="1"/>
  <c r="F60" i="56"/>
  <c r="G60" i="56" s="1"/>
  <c r="E57" i="18"/>
  <c r="A59" i="18" l="1"/>
  <c r="B58" i="18"/>
  <c r="F58" i="18"/>
  <c r="G58" i="18" s="1"/>
  <c r="A62" i="56"/>
  <c r="B62" i="56" s="1"/>
  <c r="F61" i="56"/>
  <c r="G61" i="56" s="1"/>
  <c r="E61" i="56"/>
  <c r="E58" i="18"/>
  <c r="A60" i="18" l="1"/>
  <c r="B59" i="18"/>
  <c r="F59" i="18"/>
  <c r="G59" i="18" s="1"/>
  <c r="E62" i="56"/>
  <c r="A63" i="56"/>
  <c r="B63" i="56" s="1"/>
  <c r="F62" i="56"/>
  <c r="G62" i="56" s="1"/>
  <c r="E59" i="18"/>
  <c r="A61" i="18" l="1"/>
  <c r="B60" i="18"/>
  <c r="F60" i="18"/>
  <c r="G60" i="18" s="1"/>
  <c r="A64" i="56"/>
  <c r="B64" i="56" s="1"/>
  <c r="F63" i="56"/>
  <c r="G63" i="56" s="1"/>
  <c r="E63" i="56"/>
  <c r="E60" i="18"/>
  <c r="A62" i="18" l="1"/>
  <c r="B61" i="18"/>
  <c r="F61" i="18"/>
  <c r="G61" i="18" s="1"/>
  <c r="E64" i="56"/>
  <c r="A65" i="56"/>
  <c r="B65" i="56" s="1"/>
  <c r="F64" i="56"/>
  <c r="G64" i="56" s="1"/>
  <c r="E61" i="18"/>
  <c r="A63" i="18" l="1"/>
  <c r="B62" i="18"/>
  <c r="F62" i="18"/>
  <c r="G62" i="18" s="1"/>
  <c r="A66" i="56"/>
  <c r="B66" i="56" s="1"/>
  <c r="F65" i="56"/>
  <c r="G65" i="56" s="1"/>
  <c r="E65" i="56"/>
  <c r="E62" i="18"/>
  <c r="A64" i="18" l="1"/>
  <c r="B63" i="18"/>
  <c r="F63" i="18"/>
  <c r="G63" i="18" s="1"/>
  <c r="E66" i="56"/>
  <c r="A67" i="56"/>
  <c r="B67" i="56" s="1"/>
  <c r="F66" i="56"/>
  <c r="G66" i="56" s="1"/>
  <c r="E63" i="18"/>
  <c r="A65" i="18" l="1"/>
  <c r="B64" i="18"/>
  <c r="F64" i="18"/>
  <c r="G64" i="18" s="1"/>
  <c r="A68" i="56"/>
  <c r="B68" i="56" s="1"/>
  <c r="F67" i="56"/>
  <c r="G67" i="56" s="1"/>
  <c r="E67" i="56"/>
  <c r="E64" i="18"/>
  <c r="A66" i="18" l="1"/>
  <c r="B65" i="18"/>
  <c r="F65" i="18"/>
  <c r="E68" i="56"/>
  <c r="A69" i="56"/>
  <c r="B69" i="56" s="1"/>
  <c r="F68" i="56"/>
  <c r="G68" i="56" s="1"/>
  <c r="G65" i="18"/>
  <c r="E65" i="18"/>
  <c r="A67" i="18" l="1"/>
  <c r="B66" i="18"/>
  <c r="F66" i="18"/>
  <c r="G66" i="18" s="1"/>
  <c r="A70" i="56"/>
  <c r="B70" i="56" s="1"/>
  <c r="F69" i="56"/>
  <c r="G69" i="56" s="1"/>
  <c r="E69" i="56"/>
  <c r="E66" i="18"/>
  <c r="A68" i="18" l="1"/>
  <c r="B67" i="18"/>
  <c r="F67" i="18"/>
  <c r="G67" i="18" s="1"/>
  <c r="E70" i="56"/>
  <c r="A71" i="56"/>
  <c r="B71" i="56" s="1"/>
  <c r="F70" i="56"/>
  <c r="G70" i="56" s="1"/>
  <c r="E67" i="18"/>
  <c r="A69" i="18" l="1"/>
  <c r="B68" i="18"/>
  <c r="F68" i="18"/>
  <c r="G68" i="18" s="1"/>
  <c r="A72" i="56"/>
  <c r="B72" i="56" s="1"/>
  <c r="F71" i="56"/>
  <c r="G71" i="56" s="1"/>
  <c r="E71" i="56"/>
  <c r="E68" i="18"/>
  <c r="A70" i="18" l="1"/>
  <c r="B69" i="18"/>
  <c r="F69" i="18"/>
  <c r="G69" i="18" s="1"/>
  <c r="A73" i="56"/>
  <c r="B73" i="56" s="1"/>
  <c r="F72" i="56"/>
  <c r="G72" i="56" s="1"/>
  <c r="E72" i="56"/>
  <c r="E69" i="18"/>
  <c r="A71" i="18" l="1"/>
  <c r="B70" i="18"/>
  <c r="F70" i="18"/>
  <c r="G70" i="18" s="1"/>
  <c r="E73" i="56"/>
  <c r="A74" i="56"/>
  <c r="B74" i="56" s="1"/>
  <c r="F73" i="56"/>
  <c r="G73" i="56" s="1"/>
  <c r="E70" i="18"/>
  <c r="A72" i="18" l="1"/>
  <c r="B71" i="18"/>
  <c r="F71" i="18"/>
  <c r="G71" i="18" s="1"/>
  <c r="A75" i="56"/>
  <c r="B75" i="56" s="1"/>
  <c r="F74" i="56"/>
  <c r="G74" i="56" s="1"/>
  <c r="E74" i="56"/>
  <c r="E71" i="18"/>
  <c r="A73" i="18" l="1"/>
  <c r="B72" i="18"/>
  <c r="F72" i="18"/>
  <c r="G72" i="18" s="1"/>
  <c r="E75" i="56"/>
  <c r="A76" i="56"/>
  <c r="B76" i="56" s="1"/>
  <c r="F75" i="56"/>
  <c r="G75" i="56" s="1"/>
  <c r="E72" i="18"/>
  <c r="A74" i="18" l="1"/>
  <c r="B73" i="18"/>
  <c r="F73" i="18"/>
  <c r="G73" i="18" s="1"/>
  <c r="A77" i="56"/>
  <c r="B77" i="56" s="1"/>
  <c r="F76" i="56"/>
  <c r="G76" i="56" s="1"/>
  <c r="E76" i="56"/>
  <c r="E73" i="18"/>
  <c r="A75" i="18" l="1"/>
  <c r="B74" i="18"/>
  <c r="F74" i="18"/>
  <c r="E77" i="56"/>
  <c r="A78" i="56"/>
  <c r="B78" i="56" s="1"/>
  <c r="F77" i="56"/>
  <c r="G77" i="56" s="1"/>
  <c r="G74" i="18"/>
  <c r="E74" i="18"/>
  <c r="A76" i="18" l="1"/>
  <c r="B75" i="18"/>
  <c r="F75" i="18"/>
  <c r="G75" i="18" s="1"/>
  <c r="A79" i="56"/>
  <c r="B79" i="56" s="1"/>
  <c r="F78" i="56"/>
  <c r="G78" i="56" s="1"/>
  <c r="E78" i="56"/>
  <c r="E75" i="18"/>
  <c r="A77" i="18" l="1"/>
  <c r="B76" i="18"/>
  <c r="F76" i="18"/>
  <c r="G76" i="18" s="1"/>
  <c r="E79" i="56"/>
  <c r="A80" i="56"/>
  <c r="B80" i="56" s="1"/>
  <c r="F79" i="56"/>
  <c r="G79" i="56" s="1"/>
  <c r="E76" i="18"/>
  <c r="A78" i="18" l="1"/>
  <c r="B77" i="18"/>
  <c r="F77" i="18"/>
  <c r="G77" i="18" s="1"/>
  <c r="A81" i="56"/>
  <c r="B81" i="56" s="1"/>
  <c r="F80" i="56"/>
  <c r="G80" i="56" s="1"/>
  <c r="E80" i="56"/>
  <c r="E77" i="18"/>
  <c r="A79" i="18" l="1"/>
  <c r="B78" i="18"/>
  <c r="F78" i="18"/>
  <c r="G78" i="18" s="1"/>
  <c r="E81" i="56"/>
  <c r="A82" i="56"/>
  <c r="B82" i="56" s="1"/>
  <c r="F81" i="56"/>
  <c r="G81" i="56" s="1"/>
  <c r="E78" i="18"/>
  <c r="A80" i="18" l="1"/>
  <c r="B79" i="18"/>
  <c r="F79" i="18"/>
  <c r="G79" i="18" s="1"/>
  <c r="A83" i="56"/>
  <c r="B83" i="56" s="1"/>
  <c r="F82" i="56"/>
  <c r="G82" i="56" s="1"/>
  <c r="E82" i="56"/>
  <c r="E79" i="18"/>
  <c r="A81" i="18" l="1"/>
  <c r="B80" i="18"/>
  <c r="F80" i="18"/>
  <c r="G80" i="18" s="1"/>
  <c r="E83" i="56"/>
  <c r="A84" i="56"/>
  <c r="B84" i="56" s="1"/>
  <c r="F83" i="56"/>
  <c r="G83" i="56" s="1"/>
  <c r="E80" i="18"/>
  <c r="A82" i="18" l="1"/>
  <c r="B81" i="18"/>
  <c r="F81" i="18"/>
  <c r="G81" i="18" s="1"/>
  <c r="A85" i="56"/>
  <c r="B85" i="56" s="1"/>
  <c r="F84" i="56"/>
  <c r="G84" i="56" s="1"/>
  <c r="E84" i="56"/>
  <c r="E81" i="18"/>
  <c r="A83" i="18" l="1"/>
  <c r="B82" i="18"/>
  <c r="F82" i="18"/>
  <c r="G82" i="18" s="1"/>
  <c r="E85" i="56"/>
  <c r="A86" i="56"/>
  <c r="B86" i="56" s="1"/>
  <c r="F85" i="56"/>
  <c r="G85" i="56" s="1"/>
  <c r="E82" i="18"/>
  <c r="A84" i="18" l="1"/>
  <c r="B83" i="18"/>
  <c r="F83" i="18"/>
  <c r="A87" i="56"/>
  <c r="B87" i="56" s="1"/>
  <c r="F86" i="56"/>
  <c r="G86" i="56" s="1"/>
  <c r="E86" i="56"/>
  <c r="G83" i="18"/>
  <c r="E83" i="18"/>
  <c r="A85" i="18" l="1"/>
  <c r="B84" i="18"/>
  <c r="F84" i="18"/>
  <c r="G84" i="18" s="1"/>
  <c r="E87" i="56"/>
  <c r="A88" i="56"/>
  <c r="B88" i="56" s="1"/>
  <c r="F87" i="56"/>
  <c r="G87" i="56" s="1"/>
  <c r="E84" i="18"/>
  <c r="A86" i="18" l="1"/>
  <c r="B85" i="18"/>
  <c r="F85" i="18"/>
  <c r="G85" i="18" s="1"/>
  <c r="A89" i="56"/>
  <c r="B89" i="56" s="1"/>
  <c r="F88" i="56"/>
  <c r="G88" i="56" s="1"/>
  <c r="E88" i="56"/>
  <c r="E85" i="18"/>
  <c r="A87" i="18" l="1"/>
  <c r="B86" i="18"/>
  <c r="F86" i="18"/>
  <c r="G86" i="18" s="1"/>
  <c r="E89" i="56"/>
  <c r="A90" i="56"/>
  <c r="B90" i="56" s="1"/>
  <c r="F89" i="56"/>
  <c r="G89" i="56" s="1"/>
  <c r="E86" i="18"/>
  <c r="A88" i="18" l="1"/>
  <c r="B87" i="18"/>
  <c r="F87" i="18"/>
  <c r="G87" i="18" s="1"/>
  <c r="A91" i="56"/>
  <c r="B91" i="56" s="1"/>
  <c r="F90" i="56"/>
  <c r="G90" i="56" s="1"/>
  <c r="E90" i="56"/>
  <c r="E87" i="18"/>
  <c r="A89" i="18" l="1"/>
  <c r="B88" i="18"/>
  <c r="F88" i="18"/>
  <c r="G88" i="18" s="1"/>
  <c r="E91" i="56"/>
  <c r="A92" i="56"/>
  <c r="B92" i="56" s="1"/>
  <c r="F91" i="56"/>
  <c r="G91" i="56" s="1"/>
  <c r="E88" i="18"/>
  <c r="A90" i="18" l="1"/>
  <c r="B89" i="18"/>
  <c r="F89" i="18"/>
  <c r="G89" i="18" s="1"/>
  <c r="A93" i="56"/>
  <c r="B93" i="56" s="1"/>
  <c r="F92" i="56"/>
  <c r="G92" i="56" s="1"/>
  <c r="E92" i="56"/>
  <c r="E89" i="18"/>
  <c r="A91" i="18" l="1"/>
  <c r="B90" i="18"/>
  <c r="F90" i="18"/>
  <c r="E93" i="56"/>
  <c r="A94" i="56"/>
  <c r="B94" i="56" s="1"/>
  <c r="F93" i="56"/>
  <c r="G93" i="56" s="1"/>
  <c r="G90" i="18"/>
  <c r="E90" i="18"/>
  <c r="A92" i="18" l="1"/>
  <c r="B91" i="18"/>
  <c r="F91" i="18"/>
  <c r="G91" i="18" s="1"/>
  <c r="A95" i="56"/>
  <c r="B95" i="56" s="1"/>
  <c r="F94" i="56"/>
  <c r="G94" i="56" s="1"/>
  <c r="E94" i="56"/>
  <c r="E91" i="18"/>
  <c r="A93" i="18" l="1"/>
  <c r="B92" i="18"/>
  <c r="F92" i="18"/>
  <c r="G92" i="18" s="1"/>
  <c r="E95" i="56"/>
  <c r="A96" i="56"/>
  <c r="B96" i="56" s="1"/>
  <c r="F95" i="56"/>
  <c r="G95" i="56" s="1"/>
  <c r="E92" i="18"/>
  <c r="A94" i="18" l="1"/>
  <c r="B93" i="18"/>
  <c r="F93" i="18"/>
  <c r="G93" i="18" s="1"/>
  <c r="A97" i="56"/>
  <c r="B97" i="56" s="1"/>
  <c r="F96" i="56"/>
  <c r="G96" i="56" s="1"/>
  <c r="E96" i="56"/>
  <c r="E93" i="18"/>
  <c r="A95" i="18" l="1"/>
  <c r="B94" i="18"/>
  <c r="F94" i="18"/>
  <c r="G94" i="18" s="1"/>
  <c r="E97" i="56"/>
  <c r="A98" i="56"/>
  <c r="B98" i="56" s="1"/>
  <c r="F97" i="56"/>
  <c r="G97" i="56" s="1"/>
  <c r="E94" i="18"/>
  <c r="A96" i="18" l="1"/>
  <c r="B95" i="18"/>
  <c r="F95" i="18"/>
  <c r="G95" i="18" s="1"/>
  <c r="A99" i="56"/>
  <c r="B99" i="56" s="1"/>
  <c r="F98" i="56"/>
  <c r="G98" i="56" s="1"/>
  <c r="E98" i="56"/>
  <c r="E95" i="18"/>
  <c r="A97" i="18" l="1"/>
  <c r="B96" i="18"/>
  <c r="F96" i="18"/>
  <c r="G96" i="18" s="1"/>
  <c r="E99" i="56"/>
  <c r="A100" i="56"/>
  <c r="B100" i="56" s="1"/>
  <c r="F99" i="56"/>
  <c r="G99" i="56" s="1"/>
  <c r="E96" i="18"/>
  <c r="A98" i="18" l="1"/>
  <c r="B97" i="18"/>
  <c r="F97" i="18"/>
  <c r="G97" i="18" s="1"/>
  <c r="A101" i="56"/>
  <c r="B101" i="56" s="1"/>
  <c r="F100" i="56"/>
  <c r="G100" i="56" s="1"/>
  <c r="E100" i="56"/>
  <c r="E97" i="18"/>
  <c r="A99" i="18" l="1"/>
  <c r="B98" i="18"/>
  <c r="F98" i="18"/>
  <c r="G98" i="18" s="1"/>
  <c r="E101" i="56"/>
  <c r="A102" i="56"/>
  <c r="B102" i="56" s="1"/>
  <c r="F101" i="56"/>
  <c r="G101" i="56" s="1"/>
  <c r="E98" i="18"/>
  <c r="A100" i="18" l="1"/>
  <c r="B99" i="18"/>
  <c r="F99" i="18"/>
  <c r="G99" i="18" s="1"/>
  <c r="A103" i="56"/>
  <c r="B103" i="56" s="1"/>
  <c r="F102" i="56"/>
  <c r="G102" i="56" s="1"/>
  <c r="E102" i="56"/>
  <c r="E99" i="18"/>
  <c r="A101" i="18" l="1"/>
  <c r="B100" i="18"/>
  <c r="F100" i="18"/>
  <c r="G100" i="18" s="1"/>
  <c r="E103" i="56"/>
  <c r="A104" i="56"/>
  <c r="B104" i="56" s="1"/>
  <c r="F103" i="56"/>
  <c r="G103" i="56" s="1"/>
  <c r="E100" i="18"/>
  <c r="A102" i="18" l="1"/>
  <c r="B101" i="18"/>
  <c r="F101" i="18"/>
  <c r="G101" i="18" s="1"/>
  <c r="A105" i="56"/>
  <c r="B105" i="56" s="1"/>
  <c r="F104" i="56"/>
  <c r="G104" i="56" s="1"/>
  <c r="E104" i="56"/>
  <c r="E101" i="18"/>
  <c r="A103" i="18" l="1"/>
  <c r="B102" i="18"/>
  <c r="F102" i="18"/>
  <c r="G102" i="18" s="1"/>
  <c r="E105" i="56"/>
  <c r="A106" i="56"/>
  <c r="B106" i="56" s="1"/>
  <c r="F105" i="56"/>
  <c r="G105" i="56" s="1"/>
  <c r="E102" i="18"/>
  <c r="A104" i="18" l="1"/>
  <c r="B103" i="18"/>
  <c r="F103" i="18"/>
  <c r="A107" i="56"/>
  <c r="B107" i="56" s="1"/>
  <c r="F106" i="56"/>
  <c r="G106" i="56" s="1"/>
  <c r="E106" i="56"/>
  <c r="G103" i="18"/>
  <c r="E103" i="18"/>
  <c r="A105" i="18" l="1"/>
  <c r="B104" i="18"/>
  <c r="F104" i="18"/>
  <c r="G104" i="18" s="1"/>
  <c r="E107" i="56"/>
  <c r="A108" i="56"/>
  <c r="B108" i="56" s="1"/>
  <c r="F107" i="56"/>
  <c r="G107" i="56" s="1"/>
  <c r="E104" i="18"/>
  <c r="A106" i="18" l="1"/>
  <c r="B105" i="18"/>
  <c r="F105" i="18"/>
  <c r="A109" i="56"/>
  <c r="B109" i="56" s="1"/>
  <c r="F108" i="56"/>
  <c r="G108" i="56" s="1"/>
  <c r="E108" i="56"/>
  <c r="G105" i="18"/>
  <c r="E105" i="18"/>
  <c r="A107" i="18" l="1"/>
  <c r="B106" i="18"/>
  <c r="F106" i="18"/>
  <c r="G106" i="18" s="1"/>
  <c r="E109" i="56"/>
  <c r="A110" i="56"/>
  <c r="B110" i="56" s="1"/>
  <c r="F109" i="56"/>
  <c r="G109" i="56" s="1"/>
  <c r="E106" i="18"/>
  <c r="A108" i="18" l="1"/>
  <c r="B107" i="18"/>
  <c r="F107" i="18"/>
  <c r="G107" i="18" s="1"/>
  <c r="A111" i="56"/>
  <c r="B111" i="56" s="1"/>
  <c r="F110" i="56"/>
  <c r="G110" i="56" s="1"/>
  <c r="E110" i="56"/>
  <c r="E107" i="18"/>
  <c r="A109" i="18" l="1"/>
  <c r="B108" i="18"/>
  <c r="F108" i="18"/>
  <c r="G108" i="18" s="1"/>
  <c r="E111" i="56"/>
  <c r="A112" i="56"/>
  <c r="B112" i="56" s="1"/>
  <c r="F111" i="56"/>
  <c r="G111" i="56" s="1"/>
  <c r="E108" i="18"/>
  <c r="A110" i="18" l="1"/>
  <c r="B109" i="18"/>
  <c r="F109" i="18"/>
  <c r="G109" i="18" s="1"/>
  <c r="A113" i="56"/>
  <c r="B113" i="56" s="1"/>
  <c r="F112" i="56"/>
  <c r="G112" i="56" s="1"/>
  <c r="E112" i="56"/>
  <c r="E109" i="18"/>
  <c r="A111" i="18" l="1"/>
  <c r="B110" i="18"/>
  <c r="F110" i="18"/>
  <c r="G110" i="18" s="1"/>
  <c r="E113" i="56"/>
  <c r="A114" i="56"/>
  <c r="B114" i="56" s="1"/>
  <c r="F113" i="56"/>
  <c r="G113" i="56" s="1"/>
  <c r="E110" i="18"/>
  <c r="A112" i="18" l="1"/>
  <c r="B111" i="18"/>
  <c r="F111" i="18"/>
  <c r="G111" i="18" s="1"/>
  <c r="A115" i="56"/>
  <c r="B115" i="56" s="1"/>
  <c r="F114" i="56"/>
  <c r="G114" i="56" s="1"/>
  <c r="E114" i="56"/>
  <c r="E111" i="18"/>
  <c r="A113" i="18" l="1"/>
  <c r="B112" i="18"/>
  <c r="F112" i="18"/>
  <c r="G112" i="18" s="1"/>
  <c r="E115" i="56"/>
  <c r="A116" i="56"/>
  <c r="B116" i="56" s="1"/>
  <c r="F115" i="56"/>
  <c r="G115" i="56" s="1"/>
  <c r="E112" i="18"/>
  <c r="A114" i="18" l="1"/>
  <c r="B113" i="18"/>
  <c r="F113" i="18"/>
  <c r="G113" i="18" s="1"/>
  <c r="A117" i="56"/>
  <c r="B117" i="56" s="1"/>
  <c r="F116" i="56"/>
  <c r="G116" i="56" s="1"/>
  <c r="E116" i="56"/>
  <c r="E113" i="18"/>
  <c r="A115" i="18" l="1"/>
  <c r="B114" i="18"/>
  <c r="F114" i="18"/>
  <c r="G114" i="18" s="1"/>
  <c r="E117" i="56"/>
  <c r="A118" i="56"/>
  <c r="B118" i="56" s="1"/>
  <c r="F117" i="56"/>
  <c r="G117" i="56" s="1"/>
  <c r="E114" i="18"/>
  <c r="A116" i="18" l="1"/>
  <c r="B115" i="18"/>
  <c r="F115" i="18"/>
  <c r="G115" i="18" s="1"/>
  <c r="A119" i="56"/>
  <c r="B119" i="56" s="1"/>
  <c r="F118" i="56"/>
  <c r="G118" i="56" s="1"/>
  <c r="E118" i="56"/>
  <c r="E115" i="18"/>
  <c r="A117" i="18" l="1"/>
  <c r="B116" i="18"/>
  <c r="F116" i="18"/>
  <c r="G116" i="18" s="1"/>
  <c r="E119" i="56"/>
  <c r="A120" i="56"/>
  <c r="B120" i="56" s="1"/>
  <c r="F119" i="56"/>
  <c r="G119" i="56" s="1"/>
  <c r="E116" i="18"/>
  <c r="A118" i="18" l="1"/>
  <c r="B117" i="18"/>
  <c r="F117" i="18"/>
  <c r="G117" i="18" s="1"/>
  <c r="E120" i="56"/>
  <c r="A121" i="56"/>
  <c r="B121" i="56" s="1"/>
  <c r="F120" i="56"/>
  <c r="G120" i="56" s="1"/>
  <c r="E117" i="18"/>
  <c r="A119" i="18" l="1"/>
  <c r="B118" i="18"/>
  <c r="F118" i="18"/>
  <c r="G118" i="18" s="1"/>
  <c r="A122" i="56"/>
  <c r="B122" i="56" s="1"/>
  <c r="F121" i="56"/>
  <c r="G121" i="56" s="1"/>
  <c r="E121" i="56"/>
  <c r="E118" i="18"/>
  <c r="A120" i="18" l="1"/>
  <c r="B119" i="18"/>
  <c r="F119" i="18"/>
  <c r="G119" i="18" s="1"/>
  <c r="E122" i="56"/>
  <c r="A123" i="56"/>
  <c r="B123" i="56" s="1"/>
  <c r="F122" i="56"/>
  <c r="G122" i="56" s="1"/>
  <c r="E119" i="18"/>
  <c r="A121" i="18" l="1"/>
  <c r="B120" i="18"/>
  <c r="F120" i="18"/>
  <c r="A124" i="56"/>
  <c r="B124" i="56" s="1"/>
  <c r="F123" i="56"/>
  <c r="G123" i="56" s="1"/>
  <c r="E123" i="56"/>
  <c r="E120" i="18"/>
  <c r="G120" i="18"/>
  <c r="A122" i="18" l="1"/>
  <c r="B121" i="18"/>
  <c r="F121" i="18"/>
  <c r="G121" i="18" s="1"/>
  <c r="E124" i="56"/>
  <c r="A125" i="56"/>
  <c r="B125" i="56" s="1"/>
  <c r="F124" i="56"/>
  <c r="G124" i="56" s="1"/>
  <c r="E121" i="18"/>
  <c r="A123" i="18" l="1"/>
  <c r="B122" i="18"/>
  <c r="F122" i="18"/>
  <c r="G122" i="18" s="1"/>
  <c r="A126" i="56"/>
  <c r="B126" i="56" s="1"/>
  <c r="F125" i="56"/>
  <c r="G125" i="56" s="1"/>
  <c r="E125" i="56"/>
  <c r="E122" i="18"/>
  <c r="A124" i="18" l="1"/>
  <c r="B123" i="18"/>
  <c r="F123" i="18"/>
  <c r="G123" i="18" s="1"/>
  <c r="E126" i="56"/>
  <c r="A127" i="56"/>
  <c r="B127" i="56" s="1"/>
  <c r="F126" i="56"/>
  <c r="G126" i="56" s="1"/>
  <c r="E123" i="18"/>
  <c r="A125" i="18" l="1"/>
  <c r="B124" i="18"/>
  <c r="F124" i="18"/>
  <c r="G124" i="18" s="1"/>
  <c r="A128" i="56"/>
  <c r="B128" i="56" s="1"/>
  <c r="F127" i="56"/>
  <c r="G127" i="56" s="1"/>
  <c r="E127" i="56"/>
  <c r="E124" i="18"/>
  <c r="A126" i="18" l="1"/>
  <c r="B125" i="18"/>
  <c r="F125" i="18"/>
  <c r="G125" i="18" s="1"/>
  <c r="E128" i="56"/>
  <c r="A129" i="56"/>
  <c r="B129" i="56" s="1"/>
  <c r="F128" i="56"/>
  <c r="G128" i="56" s="1"/>
  <c r="E125" i="18"/>
  <c r="A127" i="18" l="1"/>
  <c r="B126" i="18"/>
  <c r="F126" i="18"/>
  <c r="G126" i="18" s="1"/>
  <c r="A130" i="56"/>
  <c r="B130" i="56" s="1"/>
  <c r="F129" i="56"/>
  <c r="G129" i="56" s="1"/>
  <c r="E129" i="56"/>
  <c r="E126" i="18"/>
  <c r="A128" i="18" l="1"/>
  <c r="B127" i="18"/>
  <c r="F127" i="18"/>
  <c r="G127" i="18" s="1"/>
  <c r="E130" i="56"/>
  <c r="A131" i="56"/>
  <c r="B131" i="56" s="1"/>
  <c r="F130" i="56"/>
  <c r="G130" i="56" s="1"/>
  <c r="E127" i="18"/>
  <c r="A129" i="18" l="1"/>
  <c r="B128" i="18"/>
  <c r="F128" i="18"/>
  <c r="G128" i="18" s="1"/>
  <c r="A132" i="56"/>
  <c r="B132" i="56" s="1"/>
  <c r="F131" i="56"/>
  <c r="G131" i="56" s="1"/>
  <c r="E131" i="56"/>
  <c r="E128" i="18"/>
  <c r="A130" i="18" l="1"/>
  <c r="B129" i="18"/>
  <c r="F129" i="18"/>
  <c r="G129" i="18" s="1"/>
  <c r="E132" i="56"/>
  <c r="A133" i="56"/>
  <c r="B133" i="56" s="1"/>
  <c r="F132" i="56"/>
  <c r="G132" i="56" s="1"/>
  <c r="E129" i="18"/>
  <c r="A131" i="18" l="1"/>
  <c r="B130" i="18"/>
  <c r="F130" i="18"/>
  <c r="G130" i="18" s="1"/>
  <c r="A134" i="56"/>
  <c r="B134" i="56" s="1"/>
  <c r="F133" i="56"/>
  <c r="G133" i="56" s="1"/>
  <c r="E133" i="56"/>
  <c r="E130" i="18"/>
  <c r="A132" i="18" l="1"/>
  <c r="B131" i="18"/>
  <c r="F131" i="18"/>
  <c r="G131" i="18" s="1"/>
  <c r="E134" i="56"/>
  <c r="A135" i="56"/>
  <c r="B135" i="56" s="1"/>
  <c r="F134" i="56"/>
  <c r="G134" i="56" s="1"/>
  <c r="E131" i="18"/>
  <c r="A133" i="18" l="1"/>
  <c r="B132" i="18"/>
  <c r="F132" i="18"/>
  <c r="G132" i="18" s="1"/>
  <c r="A136" i="56"/>
  <c r="B136" i="56" s="1"/>
  <c r="F135" i="56"/>
  <c r="G135" i="56" s="1"/>
  <c r="E135" i="56"/>
  <c r="E132" i="18"/>
  <c r="A134" i="18" l="1"/>
  <c r="B133" i="18"/>
  <c r="F133" i="18"/>
  <c r="G133" i="18" s="1"/>
  <c r="E136" i="56"/>
  <c r="A137" i="56"/>
  <c r="B137" i="56" s="1"/>
  <c r="F136" i="56"/>
  <c r="G136" i="56" s="1"/>
  <c r="E133" i="18"/>
  <c r="A135" i="18" l="1"/>
  <c r="B134" i="18"/>
  <c r="F134" i="18"/>
  <c r="G134" i="18" s="1"/>
  <c r="A138" i="56"/>
  <c r="B138" i="56" s="1"/>
  <c r="F137" i="56"/>
  <c r="G137" i="56" s="1"/>
  <c r="E137" i="56"/>
  <c r="E134" i="18"/>
  <c r="A136" i="18" l="1"/>
  <c r="B135" i="18"/>
  <c r="F135" i="18"/>
  <c r="G135" i="18" s="1"/>
  <c r="E138" i="56"/>
  <c r="A139" i="56"/>
  <c r="B139" i="56" s="1"/>
  <c r="F138" i="56"/>
  <c r="G138" i="56" s="1"/>
  <c r="E135" i="18"/>
  <c r="A137" i="18" l="1"/>
  <c r="B136" i="18"/>
  <c r="F136" i="18"/>
  <c r="G136" i="18" s="1"/>
  <c r="A140" i="56"/>
  <c r="B140" i="56" s="1"/>
  <c r="F139" i="56"/>
  <c r="G139" i="56" s="1"/>
  <c r="E139" i="56"/>
  <c r="E136" i="18"/>
  <c r="A138" i="18" l="1"/>
  <c r="B137" i="18"/>
  <c r="F137" i="18"/>
  <c r="G137" i="18" s="1"/>
  <c r="E140" i="56"/>
  <c r="A141" i="56"/>
  <c r="B141" i="56" s="1"/>
  <c r="F140" i="56"/>
  <c r="G140" i="56" s="1"/>
  <c r="E137" i="18"/>
  <c r="A139" i="18" l="1"/>
  <c r="B138" i="18"/>
  <c r="F138" i="18"/>
  <c r="G138" i="18" s="1"/>
  <c r="A142" i="56"/>
  <c r="B142" i="56" s="1"/>
  <c r="F141" i="56"/>
  <c r="G141" i="56" s="1"/>
  <c r="E141" i="56"/>
  <c r="E138" i="18"/>
  <c r="A140" i="18" l="1"/>
  <c r="B139" i="18"/>
  <c r="F139" i="18"/>
  <c r="G139" i="18" s="1"/>
  <c r="E142" i="56"/>
  <c r="A143" i="56"/>
  <c r="B143" i="56" s="1"/>
  <c r="F142" i="56"/>
  <c r="G142" i="56" s="1"/>
  <c r="E139" i="18"/>
  <c r="A141" i="18" l="1"/>
  <c r="B140" i="18"/>
  <c r="F140" i="18"/>
  <c r="G140" i="18" s="1"/>
  <c r="A144" i="56"/>
  <c r="B144" i="56" s="1"/>
  <c r="F143" i="56"/>
  <c r="G143" i="56" s="1"/>
  <c r="E143" i="56"/>
  <c r="E140" i="18"/>
  <c r="A142" i="18" l="1"/>
  <c r="B141" i="18"/>
  <c r="F141" i="18"/>
  <c r="G141" i="18" s="1"/>
  <c r="A145" i="56"/>
  <c r="B145" i="56" s="1"/>
  <c r="E144" i="56"/>
  <c r="F144" i="56"/>
  <c r="G144" i="56" s="1"/>
  <c r="E141" i="18"/>
  <c r="A143" i="18" l="1"/>
  <c r="B142" i="18"/>
  <c r="F142" i="18"/>
  <c r="G142" i="18" s="1"/>
  <c r="A146" i="56"/>
  <c r="B146" i="56" s="1"/>
  <c r="F145" i="56"/>
  <c r="G145" i="56" s="1"/>
  <c r="E145" i="56"/>
  <c r="E142" i="18"/>
  <c r="A144" i="18" l="1"/>
  <c r="B143" i="18"/>
  <c r="F143" i="18"/>
  <c r="G143" i="18" s="1"/>
  <c r="E146" i="56"/>
  <c r="A147" i="56"/>
  <c r="B147" i="56" s="1"/>
  <c r="F146" i="56"/>
  <c r="G146" i="56" s="1"/>
  <c r="E143" i="18"/>
  <c r="A145" i="18" l="1"/>
  <c r="B144" i="18"/>
  <c r="F144" i="18"/>
  <c r="A148" i="56"/>
  <c r="B148" i="56" s="1"/>
  <c r="F147" i="56"/>
  <c r="G147" i="56" s="1"/>
  <c r="E147" i="56"/>
  <c r="E144" i="18"/>
  <c r="G144" i="18"/>
  <c r="A146" i="18" l="1"/>
  <c r="B145" i="18"/>
  <c r="F145" i="18"/>
  <c r="G145" i="18" s="1"/>
  <c r="E148" i="56"/>
  <c r="A149" i="56"/>
  <c r="B149" i="56" s="1"/>
  <c r="F148" i="56"/>
  <c r="G148" i="56" s="1"/>
  <c r="E145" i="18"/>
  <c r="A147" i="18" l="1"/>
  <c r="B146" i="18"/>
  <c r="F146" i="18"/>
  <c r="G146" i="18" s="1"/>
  <c r="A150" i="56"/>
  <c r="B150" i="56" s="1"/>
  <c r="F149" i="56"/>
  <c r="G149" i="56" s="1"/>
  <c r="E149" i="56"/>
  <c r="E146" i="18"/>
  <c r="A148" i="18" l="1"/>
  <c r="B147" i="18"/>
  <c r="F147" i="18"/>
  <c r="G147" i="18" s="1"/>
  <c r="E150" i="56"/>
  <c r="A151" i="56"/>
  <c r="B151" i="56" s="1"/>
  <c r="F150" i="56"/>
  <c r="G150" i="56" s="1"/>
  <c r="E147" i="18"/>
  <c r="A149" i="18" l="1"/>
  <c r="B148" i="18"/>
  <c r="F148" i="18"/>
  <c r="G148" i="18" s="1"/>
  <c r="A152" i="56"/>
  <c r="B152" i="56" s="1"/>
  <c r="F151" i="56"/>
  <c r="G151" i="56" s="1"/>
  <c r="E151" i="56"/>
  <c r="E148" i="18"/>
  <c r="A150" i="18" l="1"/>
  <c r="B149" i="18"/>
  <c r="F149" i="18"/>
  <c r="G149" i="18" s="1"/>
  <c r="E152" i="56"/>
  <c r="A153" i="56"/>
  <c r="B153" i="56" s="1"/>
  <c r="F152" i="56"/>
  <c r="G152" i="56" s="1"/>
  <c r="E149" i="18"/>
  <c r="A151" i="18" l="1"/>
  <c r="B150" i="18"/>
  <c r="F150" i="18"/>
  <c r="G150" i="18" s="1"/>
  <c r="A154" i="56"/>
  <c r="B154" i="56" s="1"/>
  <c r="F153" i="56"/>
  <c r="G153" i="56" s="1"/>
  <c r="E153" i="56"/>
  <c r="E150" i="18"/>
  <c r="A152" i="18" l="1"/>
  <c r="B151" i="18"/>
  <c r="F151" i="18"/>
  <c r="G151" i="18" s="1"/>
  <c r="E154" i="56"/>
  <c r="A155" i="56"/>
  <c r="B155" i="56" s="1"/>
  <c r="F154" i="56"/>
  <c r="G154" i="56" s="1"/>
  <c r="E151" i="18"/>
  <c r="A153" i="18" l="1"/>
  <c r="B152" i="18"/>
  <c r="F152" i="18"/>
  <c r="G152" i="18" s="1"/>
  <c r="A156" i="56"/>
  <c r="B156" i="56" s="1"/>
  <c r="F155" i="56"/>
  <c r="G155" i="56" s="1"/>
  <c r="E155" i="56"/>
  <c r="E152" i="18"/>
  <c r="A154" i="18" l="1"/>
  <c r="B153" i="18"/>
  <c r="F153" i="18"/>
  <c r="G153" i="18" s="1"/>
  <c r="E156" i="56"/>
  <c r="A157" i="56"/>
  <c r="B157" i="56" s="1"/>
  <c r="F156" i="56"/>
  <c r="G156" i="56" s="1"/>
  <c r="E153" i="18"/>
  <c r="A155" i="18" l="1"/>
  <c r="B154" i="18"/>
  <c r="F154" i="18"/>
  <c r="G154" i="18" s="1"/>
  <c r="A158" i="56"/>
  <c r="B158" i="56" s="1"/>
  <c r="F157" i="56"/>
  <c r="G157" i="56" s="1"/>
  <c r="E157" i="56"/>
  <c r="E154" i="18"/>
  <c r="A156" i="18" l="1"/>
  <c r="B155" i="18"/>
  <c r="F155" i="18"/>
  <c r="G155" i="18" s="1"/>
  <c r="E158" i="56"/>
  <c r="A159" i="56"/>
  <c r="B159" i="56" s="1"/>
  <c r="F158" i="56"/>
  <c r="G158" i="56" s="1"/>
  <c r="E155" i="18"/>
  <c r="A157" i="18" l="1"/>
  <c r="B156" i="18"/>
  <c r="F156" i="18"/>
  <c r="G156" i="18" s="1"/>
  <c r="A160" i="56"/>
  <c r="B160" i="56" s="1"/>
  <c r="F159" i="56"/>
  <c r="G159" i="56" s="1"/>
  <c r="E159" i="56"/>
  <c r="E156" i="18"/>
  <c r="A158" i="18" l="1"/>
  <c r="B157" i="18"/>
  <c r="F157" i="18"/>
  <c r="G157" i="18" s="1"/>
  <c r="E160" i="56"/>
  <c r="A161" i="56"/>
  <c r="B161" i="56" s="1"/>
  <c r="F160" i="56"/>
  <c r="G160" i="56" s="1"/>
  <c r="E157" i="18"/>
  <c r="A159" i="18" l="1"/>
  <c r="B158" i="18"/>
  <c r="F158" i="18"/>
  <c r="G158" i="18" s="1"/>
  <c r="A162" i="56"/>
  <c r="B162" i="56" s="1"/>
  <c r="F161" i="56"/>
  <c r="G161" i="56" s="1"/>
  <c r="E161" i="56"/>
  <c r="E158" i="18"/>
  <c r="A160" i="18" l="1"/>
  <c r="B159" i="18"/>
  <c r="F159" i="18"/>
  <c r="G159" i="18" s="1"/>
  <c r="E162" i="56"/>
  <c r="A163" i="56"/>
  <c r="B163" i="56" s="1"/>
  <c r="F162" i="56"/>
  <c r="G162" i="56" s="1"/>
  <c r="E159" i="18"/>
  <c r="A161" i="18" l="1"/>
  <c r="B160" i="18"/>
  <c r="F160" i="18"/>
  <c r="G160" i="18" s="1"/>
  <c r="A164" i="56"/>
  <c r="B164" i="56" s="1"/>
  <c r="F163" i="56"/>
  <c r="G163" i="56" s="1"/>
  <c r="E163" i="56"/>
  <c r="E160" i="18"/>
  <c r="A162" i="18" l="1"/>
  <c r="B161" i="18"/>
  <c r="F161" i="18"/>
  <c r="G161" i="18" s="1"/>
  <c r="E164" i="56"/>
  <c r="A165" i="56"/>
  <c r="B165" i="56" s="1"/>
  <c r="F164" i="56"/>
  <c r="G164" i="56" s="1"/>
  <c r="E161" i="18"/>
  <c r="A163" i="18" l="1"/>
  <c r="B162" i="18"/>
  <c r="F162" i="18"/>
  <c r="G162" i="18" s="1"/>
  <c r="A166" i="56"/>
  <c r="B166" i="56" s="1"/>
  <c r="F165" i="56"/>
  <c r="G165" i="56" s="1"/>
  <c r="E165" i="56"/>
  <c r="E162" i="18"/>
  <c r="A164" i="18" l="1"/>
  <c r="B163" i="18"/>
  <c r="F163" i="18"/>
  <c r="G163" i="18" s="1"/>
  <c r="E166" i="56"/>
  <c r="A167" i="56"/>
  <c r="B167" i="56" s="1"/>
  <c r="F166" i="56"/>
  <c r="G166" i="56" s="1"/>
  <c r="E163" i="18"/>
  <c r="A165" i="18" l="1"/>
  <c r="B164" i="18"/>
  <c r="F164" i="18"/>
  <c r="G164" i="18" s="1"/>
  <c r="A168" i="56"/>
  <c r="B168" i="56" s="1"/>
  <c r="F167" i="56"/>
  <c r="G167" i="56" s="1"/>
  <c r="E167" i="56"/>
  <c r="E164" i="18"/>
  <c r="A166" i="18" l="1"/>
  <c r="B165" i="18"/>
  <c r="F165" i="18"/>
  <c r="G165" i="18" s="1"/>
  <c r="E168" i="56"/>
  <c r="F168" i="56"/>
  <c r="G168" i="56" s="1"/>
  <c r="E165" i="18"/>
  <c r="A167" i="18" l="1"/>
  <c r="B166" i="18"/>
  <c r="F166" i="18"/>
  <c r="G166" i="18" s="1"/>
  <c r="E166" i="18"/>
  <c r="A168" i="18" l="1"/>
  <c r="B167" i="18"/>
  <c r="F167" i="18"/>
  <c r="G167" i="18" s="1"/>
  <c r="E167" i="18"/>
  <c r="B168" i="18" l="1"/>
  <c r="F168" i="18"/>
  <c r="G168" i="18" s="1"/>
  <c r="E168" i="18"/>
</calcChain>
</file>

<file path=xl/sharedStrings.xml><?xml version="1.0" encoding="utf-8"?>
<sst xmlns="http://schemas.openxmlformats.org/spreadsheetml/2006/main" count="181" uniqueCount="72">
  <si>
    <t>K</t>
  </si>
  <si>
    <t>H</t>
  </si>
  <si>
    <t>Q</t>
  </si>
  <si>
    <t>Geometry</t>
  </si>
  <si>
    <t>STEADY SALT INTRUSION MODEL (TA)</t>
  </si>
  <si>
    <t>Step length</t>
  </si>
  <si>
    <t>dx</t>
  </si>
  <si>
    <t>m</t>
  </si>
  <si>
    <t>Area at mouth</t>
  </si>
  <si>
    <t>A0</t>
  </si>
  <si>
    <t>m2</t>
  </si>
  <si>
    <t>Measurements</t>
  </si>
  <si>
    <t>Sea salinity</t>
  </si>
  <si>
    <t>kg/m3</t>
  </si>
  <si>
    <t>Area at x1</t>
  </si>
  <si>
    <t>A1</t>
  </si>
  <si>
    <t>x (m)</t>
  </si>
  <si>
    <t>HWS</t>
  </si>
  <si>
    <t>LWS</t>
  </si>
  <si>
    <t xml:space="preserve">Van Den Burgh </t>
  </si>
  <si>
    <t>a1</t>
  </si>
  <si>
    <t>Tidal Excursion</t>
  </si>
  <si>
    <t>E0</t>
  </si>
  <si>
    <t>a2</t>
  </si>
  <si>
    <t>Tidal Range</t>
  </si>
  <si>
    <t>x1</t>
  </si>
  <si>
    <t>Fresh water salinity</t>
  </si>
  <si>
    <t>Cf</t>
  </si>
  <si>
    <t>Depth</t>
  </si>
  <si>
    <t>h0</t>
  </si>
  <si>
    <t>Discharge</t>
  </si>
  <si>
    <t>m3/s</t>
  </si>
  <si>
    <t>Alpha 0</t>
  </si>
  <si>
    <r>
      <rPr>
        <b/>
        <sz val="10"/>
        <rFont val="Calibri"/>
        <family val="2"/>
      </rPr>
      <t>α</t>
    </r>
    <r>
      <rPr>
        <b/>
        <vertAlign val="subscript"/>
        <sz val="10"/>
        <rFont val="Arial"/>
        <family val="2"/>
      </rPr>
      <t>0</t>
    </r>
  </si>
  <si>
    <t>1/m</t>
  </si>
  <si>
    <t>Dispersion at mouth</t>
  </si>
  <si>
    <t>Do</t>
  </si>
  <si>
    <t>m2/s</t>
  </si>
  <si>
    <t>x:</t>
  </si>
  <si>
    <t>A</t>
  </si>
  <si>
    <t>S</t>
  </si>
  <si>
    <t>xLWS</t>
  </si>
  <si>
    <t>xHWS</t>
  </si>
  <si>
    <t>REMARKS</t>
  </si>
  <si>
    <t>D1</t>
  </si>
  <si>
    <t>D</t>
  </si>
  <si>
    <t>Shifted x</t>
  </si>
  <si>
    <r>
      <rPr>
        <b/>
        <sz val="10"/>
        <rFont val="Calibri"/>
        <family val="2"/>
      </rPr>
      <t>α</t>
    </r>
    <r>
      <rPr>
        <b/>
        <vertAlign val="subscript"/>
        <sz val="10"/>
        <rFont val="Arial"/>
        <family val="2"/>
      </rPr>
      <t>1</t>
    </r>
    <r>
      <rPr>
        <sz val="11"/>
        <color theme="1"/>
        <rFont val="Calibri"/>
        <family val="2"/>
        <scheme val="minor"/>
      </rPr>
      <t/>
    </r>
  </si>
  <si>
    <t>Alpha 1</t>
  </si>
  <si>
    <t>Salinity at x1</t>
  </si>
  <si>
    <t>Dispersion at x1</t>
  </si>
  <si>
    <t>S0</t>
  </si>
  <si>
    <t>Convergence length</t>
  </si>
  <si>
    <t>Calibration parameters</t>
  </si>
  <si>
    <t>β</t>
  </si>
  <si>
    <t>Input</t>
  </si>
  <si>
    <t>Calculations</t>
  </si>
  <si>
    <t>Inflection point</t>
  </si>
  <si>
    <t>Convergence length 2</t>
  </si>
  <si>
    <t>β1</t>
  </si>
  <si>
    <t>S1</t>
  </si>
  <si>
    <t>Estuary</t>
  </si>
  <si>
    <t>This sheet is provided as a tool to calculate salt intrusion in alluvial estuaries. It uses the analytical model as described in Salinity and Tides by H.H.G Savenije 2005</t>
  </si>
  <si>
    <t>Beta1</t>
  </si>
  <si>
    <t>Beta</t>
  </si>
  <si>
    <t>Pangani</t>
  </si>
  <si>
    <t>Pangani 27-10-2007</t>
  </si>
  <si>
    <t>Curve shifted with 3700m</t>
  </si>
  <si>
    <t>Pangani 11-12-2007</t>
  </si>
  <si>
    <t>Curve shifted with 1500m</t>
  </si>
  <si>
    <t>Convergence Excursion</t>
  </si>
  <si>
    <t>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</si>
</sst>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[$-809]d\ mmmm\ yyyy;@"/>
  </numFmts>
  <fonts count="12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sz val="10"/>
      <name val="Calibri"/>
      <family val="2"/>
    </font>
    <font>
      <b/>
      <vertAlign val="subscript"/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168">
    <xf numFmtId="0" fontId="0" fillId="0" borderId="0" xfId="0"/>
    <xf numFmtId="0" fontId="0" fillId="0" borderId="21" xfId="0" applyNumberFormat="1" applyBorder="1" applyProtection="1"/>
    <xf numFmtId="49" fontId="1" fillId="3" borderId="0" xfId="0" applyNumberFormat="1" applyFont="1" applyFill="1" applyAlignment="1" applyProtection="1">
      <alignment horizontal="left"/>
    </xf>
    <xf numFmtId="0" fontId="0" fillId="3" borderId="0" xfId="0" applyFill="1"/>
    <xf numFmtId="0" fontId="1" fillId="3" borderId="0" xfId="0" applyFont="1" applyFill="1"/>
    <xf numFmtId="0" fontId="4" fillId="3" borderId="10" xfId="0" applyFont="1" applyFill="1" applyBorder="1" applyAlignment="1"/>
    <xf numFmtId="0" fontId="4" fillId="3" borderId="0" xfId="0" applyFont="1" applyFill="1" applyBorder="1" applyAlignment="1"/>
    <xf numFmtId="49" fontId="2" fillId="3" borderId="16" xfId="0" applyNumberFormat="1" applyFont="1" applyFill="1" applyBorder="1" applyAlignment="1" applyProtection="1">
      <alignment horizontal="left"/>
    </xf>
    <xf numFmtId="49" fontId="3" fillId="3" borderId="17" xfId="0" applyNumberFormat="1" applyFont="1" applyFill="1" applyBorder="1" applyAlignment="1" applyProtection="1">
      <alignment horizontal="left"/>
    </xf>
    <xf numFmtId="0" fontId="0" fillId="3" borderId="17" xfId="0" applyNumberFormat="1" applyFill="1" applyBorder="1" applyProtection="1"/>
    <xf numFmtId="49" fontId="0" fillId="3" borderId="31" xfId="0" applyNumberFormat="1" applyFont="1" applyFill="1" applyBorder="1" applyAlignment="1" applyProtection="1">
      <alignment horizontal="left"/>
    </xf>
    <xf numFmtId="0" fontId="3" fillId="3" borderId="29" xfId="0" applyFont="1" applyFill="1" applyBorder="1"/>
    <xf numFmtId="0" fontId="3" fillId="3" borderId="35" xfId="0" applyFont="1" applyFill="1" applyBorder="1"/>
    <xf numFmtId="0" fontId="0" fillId="3" borderId="0" xfId="0" applyFill="1" applyAlignment="1" applyProtection="1">
      <alignment horizontal="left"/>
    </xf>
    <xf numFmtId="49" fontId="2" fillId="3" borderId="20" xfId="0" applyNumberFormat="1" applyFont="1" applyFill="1" applyBorder="1" applyAlignment="1" applyProtection="1">
      <alignment horizontal="left"/>
    </xf>
    <xf numFmtId="49" fontId="3" fillId="3" borderId="21" xfId="0" applyNumberFormat="1" applyFont="1" applyFill="1" applyBorder="1" applyAlignment="1" applyProtection="1">
      <alignment horizontal="left"/>
    </xf>
    <xf numFmtId="1" fontId="0" fillId="3" borderId="21" xfId="0" applyNumberFormat="1" applyFill="1" applyBorder="1" applyProtection="1">
      <protection locked="0"/>
    </xf>
    <xf numFmtId="49" fontId="0" fillId="3" borderId="37" xfId="0" applyNumberFormat="1" applyFont="1" applyFill="1" applyBorder="1" applyAlignment="1" applyProtection="1">
      <alignment horizontal="left"/>
    </xf>
    <xf numFmtId="0" fontId="0" fillId="3" borderId="33" xfId="0" applyFill="1" applyBorder="1"/>
    <xf numFmtId="2" fontId="0" fillId="3" borderId="34" xfId="0" applyNumberFormat="1" applyFill="1" applyBorder="1"/>
    <xf numFmtId="49" fontId="0" fillId="3" borderId="20" xfId="0" applyNumberFormat="1" applyFont="1" applyFill="1" applyBorder="1" applyAlignment="1" applyProtection="1">
      <alignment horizontal="left"/>
    </xf>
    <xf numFmtId="0" fontId="0" fillId="3" borderId="0" xfId="0" applyFill="1" applyBorder="1"/>
    <xf numFmtId="164" fontId="0" fillId="3" borderId="21" xfId="0" applyNumberFormat="1" applyFill="1" applyBorder="1" applyProtection="1">
      <protection locked="0"/>
    </xf>
    <xf numFmtId="49" fontId="0" fillId="3" borderId="37" xfId="0" applyNumberFormat="1" applyFill="1" applyBorder="1" applyAlignment="1" applyProtection="1">
      <alignment horizontal="left"/>
    </xf>
    <xf numFmtId="49" fontId="0" fillId="3" borderId="20" xfId="0" applyNumberFormat="1" applyFill="1" applyBorder="1" applyAlignment="1" applyProtection="1">
      <alignment horizontal="left"/>
    </xf>
    <xf numFmtId="0" fontId="0" fillId="3" borderId="21" xfId="0" applyNumberFormat="1" applyFill="1" applyBorder="1" applyProtection="1"/>
    <xf numFmtId="0" fontId="0" fillId="3" borderId="32" xfId="0" applyFill="1" applyBorder="1"/>
    <xf numFmtId="0" fontId="0" fillId="3" borderId="12" xfId="0" applyFill="1" applyBorder="1"/>
    <xf numFmtId="49" fontId="0" fillId="3" borderId="16" xfId="0" applyNumberFormat="1" applyFont="1" applyFill="1" applyBorder="1" applyAlignment="1" applyProtection="1">
      <alignment horizontal="left"/>
    </xf>
    <xf numFmtId="2" fontId="0" fillId="3" borderId="17" xfId="0" applyNumberFormat="1" applyFill="1" applyBorder="1" applyProtection="1">
      <protection locked="0"/>
    </xf>
    <xf numFmtId="0" fontId="0" fillId="3" borderId="31" xfId="0" applyFill="1" applyBorder="1"/>
    <xf numFmtId="49" fontId="0" fillId="3" borderId="38" xfId="0" applyNumberFormat="1" applyFill="1" applyBorder="1" applyAlignment="1" applyProtection="1">
      <alignment horizontal="left"/>
    </xf>
    <xf numFmtId="49" fontId="3" fillId="3" borderId="39" xfId="0" applyNumberFormat="1" applyFont="1" applyFill="1" applyBorder="1" applyAlignment="1" applyProtection="1">
      <alignment horizontal="left"/>
    </xf>
    <xf numFmtId="0" fontId="0" fillId="3" borderId="39" xfId="0" applyFill="1" applyBorder="1"/>
    <xf numFmtId="49" fontId="0" fillId="3" borderId="40" xfId="0" applyNumberFormat="1" applyFill="1" applyBorder="1" applyAlignment="1" applyProtection="1">
      <alignment horizontal="left"/>
    </xf>
    <xf numFmtId="0" fontId="0" fillId="3" borderId="34" xfId="0" applyFill="1" applyBorder="1"/>
    <xf numFmtId="0" fontId="9" fillId="3" borderId="21" xfId="0" applyFont="1" applyFill="1" applyBorder="1"/>
    <xf numFmtId="49" fontId="2" fillId="3" borderId="25" xfId="0" applyNumberFormat="1" applyFont="1" applyFill="1" applyBorder="1" applyAlignment="1" applyProtection="1">
      <alignment horizontal="left"/>
    </xf>
    <xf numFmtId="49" fontId="3" fillId="3" borderId="26" xfId="0" applyNumberFormat="1" applyFont="1" applyFill="1" applyBorder="1" applyAlignment="1" applyProtection="1">
      <alignment horizontal="left"/>
    </xf>
    <xf numFmtId="2" fontId="0" fillId="3" borderId="26" xfId="0" applyNumberFormat="1" applyFill="1" applyBorder="1" applyProtection="1"/>
    <xf numFmtId="49" fontId="0" fillId="3" borderId="32" xfId="0" quotePrefix="1" applyNumberFormat="1" applyFont="1" applyFill="1" applyBorder="1" applyAlignment="1" applyProtection="1">
      <alignment horizontal="left"/>
    </xf>
    <xf numFmtId="0" fontId="7" fillId="3" borderId="10" xfId="0" applyFont="1" applyFill="1" applyBorder="1" applyAlignment="1"/>
    <xf numFmtId="1" fontId="0" fillId="3" borderId="0" xfId="0" applyNumberFormat="1" applyFill="1"/>
    <xf numFmtId="49" fontId="0" fillId="3" borderId="0" xfId="0" applyNumberFormat="1" applyFont="1" applyFill="1" applyAlignment="1" applyProtection="1">
      <alignment horizontal="left"/>
    </xf>
    <xf numFmtId="0" fontId="0" fillId="3" borderId="10" xfId="0" applyFill="1" applyBorder="1"/>
    <xf numFmtId="0" fontId="0" fillId="3" borderId="30" xfId="0" applyFill="1" applyBorder="1"/>
    <xf numFmtId="2" fontId="0" fillId="3" borderId="36" xfId="0" applyNumberFormat="1" applyFill="1" applyBorder="1"/>
    <xf numFmtId="0" fontId="0" fillId="3" borderId="36" xfId="0" applyFill="1" applyBorder="1"/>
    <xf numFmtId="0" fontId="0" fillId="3" borderId="0" xfId="0" applyFill="1" applyBorder="1" applyAlignment="1" applyProtection="1">
      <alignment horizontal="center" vertical="top" wrapText="1"/>
    </xf>
    <xf numFmtId="0" fontId="0" fillId="3" borderId="0" xfId="0" applyNumberFormat="1" applyFill="1"/>
    <xf numFmtId="0" fontId="0" fillId="3" borderId="0" xfId="0" applyFill="1" applyBorder="1" applyAlignment="1" applyProtection="1"/>
    <xf numFmtId="2" fontId="0" fillId="3" borderId="17" xfId="0" applyNumberFormat="1" applyFill="1" applyBorder="1"/>
    <xf numFmtId="0" fontId="0" fillId="3" borderId="0" xfId="0" applyFill="1" applyBorder="1" applyAlignment="1" applyProtection="1">
      <alignment vertical="top" wrapText="1"/>
    </xf>
    <xf numFmtId="2" fontId="0" fillId="3" borderId="21" xfId="0" applyNumberFormat="1" applyFill="1" applyBorder="1"/>
    <xf numFmtId="49" fontId="0" fillId="3" borderId="37" xfId="0" quotePrefix="1" applyNumberFormat="1" applyFont="1" applyFill="1" applyBorder="1" applyAlignment="1" applyProtection="1">
      <alignment horizontal="left"/>
    </xf>
    <xf numFmtId="0" fontId="0" fillId="3" borderId="20" xfId="0" applyFill="1" applyBorder="1"/>
    <xf numFmtId="164" fontId="0" fillId="3" borderId="21" xfId="0" applyNumberFormat="1" applyFill="1" applyBorder="1"/>
    <xf numFmtId="0" fontId="0" fillId="3" borderId="25" xfId="0" applyFill="1" applyBorder="1"/>
    <xf numFmtId="0" fontId="7" fillId="3" borderId="26" xfId="0" applyFont="1" applyFill="1" applyBorder="1"/>
    <xf numFmtId="1" fontId="0" fillId="3" borderId="26" xfId="0" applyNumberFormat="1" applyFill="1" applyBorder="1"/>
    <xf numFmtId="49" fontId="2" fillId="3" borderId="0" xfId="0" applyNumberFormat="1" applyFont="1" applyFill="1" applyBorder="1" applyAlignment="1" applyProtection="1">
      <alignment horizontal="left"/>
    </xf>
    <xf numFmtId="49" fontId="3" fillId="3" borderId="0" xfId="0" applyNumberFormat="1" applyFont="1" applyFill="1" applyBorder="1" applyAlignment="1" applyProtection="1">
      <alignment horizontal="left"/>
    </xf>
    <xf numFmtId="2" fontId="0" fillId="3" borderId="0" xfId="0" applyNumberFormat="1" applyFill="1" applyBorder="1" applyProtection="1"/>
    <xf numFmtId="49" fontId="0" fillId="3" borderId="0" xfId="0" quotePrefix="1" applyNumberFormat="1" applyFont="1" applyFill="1" applyBorder="1" applyAlignment="1" applyProtection="1">
      <alignment horizontal="left"/>
    </xf>
    <xf numFmtId="0" fontId="0" fillId="3" borderId="0" xfId="0" applyNumberFormat="1" applyFill="1" applyProtection="1"/>
    <xf numFmtId="0" fontId="0" fillId="3" borderId="10" xfId="0" applyNumberFormat="1" applyFill="1" applyBorder="1" applyProtection="1"/>
    <xf numFmtId="0" fontId="0" fillId="3" borderId="8" xfId="0" applyNumberFormat="1" applyFill="1" applyBorder="1" applyProtection="1"/>
    <xf numFmtId="0" fontId="0" fillId="3" borderId="9" xfId="0" applyFill="1" applyBorder="1"/>
    <xf numFmtId="0" fontId="0" fillId="3" borderId="13" xfId="0" applyFill="1" applyBorder="1"/>
    <xf numFmtId="1" fontId="0" fillId="3" borderId="5" xfId="0" applyNumberFormat="1" applyFill="1" applyBorder="1" applyProtection="1"/>
    <xf numFmtId="2" fontId="0" fillId="3" borderId="5" xfId="0" applyNumberFormat="1" applyFill="1" applyBorder="1" applyProtection="1"/>
    <xf numFmtId="164" fontId="0" fillId="3" borderId="5" xfId="0" applyNumberFormat="1" applyFill="1" applyBorder="1" applyProtection="1"/>
    <xf numFmtId="0" fontId="0" fillId="3" borderId="14" xfId="0" applyFill="1" applyBorder="1"/>
    <xf numFmtId="1" fontId="0" fillId="3" borderId="6" xfId="0" applyNumberFormat="1" applyFill="1" applyBorder="1" applyProtection="1"/>
    <xf numFmtId="2" fontId="0" fillId="3" borderId="6" xfId="0" applyNumberFormat="1" applyFill="1" applyBorder="1" applyProtection="1"/>
    <xf numFmtId="164" fontId="0" fillId="3" borderId="6" xfId="0" applyNumberFormat="1" applyFill="1" applyBorder="1" applyProtection="1"/>
    <xf numFmtId="2" fontId="0" fillId="3" borderId="0" xfId="0" applyNumberFormat="1" applyFill="1" applyProtection="1"/>
    <xf numFmtId="164" fontId="0" fillId="3" borderId="0" xfId="0" applyNumberFormat="1" applyFill="1" applyBorder="1" applyProtection="1"/>
    <xf numFmtId="164" fontId="0" fillId="3" borderId="0" xfId="0" applyNumberFormat="1" applyFill="1" applyProtection="1"/>
    <xf numFmtId="0" fontId="0" fillId="3" borderId="11" xfId="0" applyNumberFormat="1" applyFill="1" applyBorder="1" applyProtection="1"/>
    <xf numFmtId="0" fontId="0" fillId="3" borderId="15" xfId="0" applyFill="1" applyBorder="1"/>
    <xf numFmtId="1" fontId="0" fillId="3" borderId="7" xfId="0" applyNumberFormat="1" applyFill="1" applyBorder="1" applyProtection="1"/>
    <xf numFmtId="2" fontId="0" fillId="3" borderId="7" xfId="0" applyNumberFormat="1" applyFill="1" applyBorder="1" applyProtection="1"/>
    <xf numFmtId="164" fontId="0" fillId="3" borderId="7" xfId="0" applyNumberFormat="1" applyFill="1" applyBorder="1" applyProtection="1"/>
    <xf numFmtId="0" fontId="8" fillId="3" borderId="21" xfId="0" applyFont="1" applyFill="1" applyBorder="1"/>
    <xf numFmtId="49" fontId="0" fillId="3" borderId="0" xfId="0" applyNumberFormat="1" applyFill="1" applyBorder="1" applyAlignment="1" applyProtection="1">
      <alignment horizontal="left"/>
    </xf>
    <xf numFmtId="0" fontId="0" fillId="3" borderId="0" xfId="0" applyNumberFormat="1" applyFill="1" applyBorder="1" applyProtection="1"/>
    <xf numFmtId="49" fontId="0" fillId="3" borderId="25" xfId="0" applyNumberFormat="1" applyFill="1" applyBorder="1" applyAlignment="1" applyProtection="1">
      <alignment horizontal="left"/>
    </xf>
    <xf numFmtId="0" fontId="0" fillId="3" borderId="26" xfId="0" applyNumberFormat="1" applyFill="1" applyBorder="1" applyProtection="1"/>
    <xf numFmtId="49" fontId="0" fillId="3" borderId="32" xfId="0" applyNumberFormat="1" applyFont="1" applyFill="1" applyBorder="1" applyAlignment="1" applyProtection="1">
      <alignment horizontal="left"/>
    </xf>
    <xf numFmtId="1" fontId="0" fillId="3" borderId="21" xfId="0" applyNumberFormat="1" applyFill="1" applyBorder="1" applyProtection="1"/>
    <xf numFmtId="49" fontId="0" fillId="3" borderId="16" xfId="0" applyNumberFormat="1" applyFill="1" applyBorder="1" applyAlignment="1" applyProtection="1">
      <alignment horizontal="left"/>
    </xf>
    <xf numFmtId="0" fontId="8" fillId="3" borderId="17" xfId="0" applyFont="1" applyFill="1" applyBorder="1"/>
    <xf numFmtId="0" fontId="0" fillId="3" borderId="20" xfId="0" applyFont="1" applyFill="1" applyBorder="1"/>
    <xf numFmtId="164" fontId="0" fillId="3" borderId="26" xfId="0" applyNumberFormat="1" applyFill="1" applyBorder="1" applyProtection="1">
      <protection locked="0"/>
    </xf>
    <xf numFmtId="49" fontId="0" fillId="3" borderId="32" xfId="0" applyNumberFormat="1" applyFill="1" applyBorder="1" applyAlignment="1" applyProtection="1">
      <alignment horizontal="left"/>
    </xf>
    <xf numFmtId="49" fontId="3" fillId="2" borderId="1" xfId="0" applyNumberFormat="1" applyFont="1" applyFill="1" applyBorder="1" applyAlignment="1" applyProtection="1">
      <alignment horizontal="left"/>
    </xf>
    <xf numFmtId="0" fontId="3" fillId="2" borderId="2" xfId="0" applyNumberFormat="1" applyFont="1" applyFill="1" applyBorder="1" applyProtection="1"/>
    <xf numFmtId="0" fontId="3" fillId="2" borderId="3" xfId="0" applyFont="1" applyFill="1" applyBorder="1"/>
    <xf numFmtId="0" fontId="3" fillId="2" borderId="4" xfId="0" applyFont="1" applyFill="1" applyBorder="1"/>
    <xf numFmtId="0" fontId="3" fillId="2" borderId="1" xfId="0" applyNumberFormat="1" applyFont="1" applyFill="1" applyBorder="1" applyProtection="1"/>
    <xf numFmtId="49" fontId="0" fillId="3" borderId="3" xfId="0" applyNumberFormat="1" applyFont="1" applyFill="1" applyBorder="1" applyAlignment="1" applyProtection="1">
      <alignment horizontal="left"/>
    </xf>
    <xf numFmtId="1" fontId="0" fillId="0" borderId="21" xfId="0" applyNumberFormat="1" applyBorder="1" applyProtection="1"/>
    <xf numFmtId="0" fontId="0" fillId="3" borderId="24" xfId="0" applyNumberFormat="1" applyFill="1" applyBorder="1" applyProtection="1"/>
    <xf numFmtId="2" fontId="0" fillId="3" borderId="13" xfId="0" applyNumberFormat="1" applyFill="1" applyBorder="1"/>
    <xf numFmtId="2" fontId="0" fillId="3" borderId="14" xfId="0" applyNumberFormat="1" applyFill="1" applyBorder="1"/>
    <xf numFmtId="0" fontId="0" fillId="3" borderId="29" xfId="0" applyFill="1" applyBorder="1"/>
    <xf numFmtId="0" fontId="0" fillId="3" borderId="5" xfId="0" applyNumberFormat="1" applyFill="1" applyBorder="1" applyProtection="1"/>
    <xf numFmtId="0" fontId="0" fillId="3" borderId="6" xfId="0" applyNumberFormat="1" applyFill="1" applyBorder="1" applyProtection="1"/>
    <xf numFmtId="0" fontId="0" fillId="3" borderId="7" xfId="0" applyNumberFormat="1" applyFill="1" applyBorder="1" applyProtection="1"/>
    <xf numFmtId="1" fontId="0" fillId="0" borderId="17" xfId="0" applyNumberFormat="1" applyBorder="1" applyProtection="1"/>
    <xf numFmtId="0" fontId="0" fillId="3" borderId="8" xfId="0" applyFill="1" applyBorder="1"/>
    <xf numFmtId="2" fontId="0" fillId="3" borderId="35" xfId="0" applyNumberFormat="1" applyFill="1" applyBorder="1"/>
    <xf numFmtId="0" fontId="0" fillId="3" borderId="0" xfId="0" applyFill="1" applyBorder="1" applyAlignment="1" applyProtection="1">
      <alignment horizontal="center" vertical="top" wrapText="1"/>
    </xf>
    <xf numFmtId="165" fontId="0" fillId="3" borderId="42" xfId="0" applyNumberFormat="1" applyFill="1" applyBorder="1" applyAlignment="1">
      <alignment horizontal="center"/>
    </xf>
    <xf numFmtId="165" fontId="0" fillId="3" borderId="22" xfId="0" applyNumberFormat="1" applyFill="1" applyBorder="1" applyAlignment="1">
      <alignment horizontal="center"/>
    </xf>
    <xf numFmtId="165" fontId="0" fillId="3" borderId="23" xfId="0" applyNumberFormat="1" applyFill="1" applyBorder="1" applyAlignment="1">
      <alignment horizontal="center"/>
    </xf>
    <xf numFmtId="165" fontId="0" fillId="3" borderId="43" xfId="0" applyNumberFormat="1" applyFill="1" applyBorder="1" applyAlignment="1">
      <alignment horizontal="center"/>
    </xf>
    <xf numFmtId="165" fontId="0" fillId="3" borderId="27" xfId="0" applyNumberFormat="1" applyFill="1" applyBorder="1" applyAlignment="1">
      <alignment horizontal="center"/>
    </xf>
    <xf numFmtId="165" fontId="0" fillId="3" borderId="28" xfId="0" applyNumberFormat="1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11" fillId="3" borderId="8" xfId="0" applyFont="1" applyFill="1" applyBorder="1" applyAlignment="1">
      <alignment horizontal="center" vertical="top" wrapText="1"/>
    </xf>
    <xf numFmtId="0" fontId="11" fillId="3" borderId="9" xfId="0" applyFont="1" applyFill="1" applyBorder="1" applyAlignment="1">
      <alignment horizontal="center" vertical="top" wrapText="1"/>
    </xf>
    <xf numFmtId="0" fontId="11" fillId="3" borderId="13" xfId="0" applyFont="1" applyFill="1" applyBorder="1" applyAlignment="1">
      <alignment horizontal="center" vertical="top" wrapText="1"/>
    </xf>
    <xf numFmtId="0" fontId="11" fillId="3" borderId="10" xfId="0" applyFont="1" applyFill="1" applyBorder="1" applyAlignment="1">
      <alignment horizontal="center" vertical="top" wrapText="1"/>
    </xf>
    <xf numFmtId="0" fontId="11" fillId="3" borderId="0" xfId="0" applyFont="1" applyFill="1" applyBorder="1" applyAlignment="1">
      <alignment horizontal="center" vertical="top" wrapText="1"/>
    </xf>
    <xf numFmtId="0" fontId="11" fillId="3" borderId="14" xfId="0" applyFont="1" applyFill="1" applyBorder="1" applyAlignment="1">
      <alignment horizontal="center" vertical="top" wrapText="1"/>
    </xf>
    <xf numFmtId="0" fontId="11" fillId="3" borderId="11" xfId="0" applyFont="1" applyFill="1" applyBorder="1" applyAlignment="1">
      <alignment horizontal="center" vertical="top" wrapText="1"/>
    </xf>
    <xf numFmtId="0" fontId="11" fillId="3" borderId="12" xfId="0" applyFont="1" applyFill="1" applyBorder="1" applyAlignment="1">
      <alignment horizontal="center" vertical="top" wrapText="1"/>
    </xf>
    <xf numFmtId="0" fontId="11" fillId="3" borderId="15" xfId="0" applyFont="1" applyFill="1" applyBorder="1" applyAlignment="1">
      <alignment horizontal="center" vertical="top" wrapText="1"/>
    </xf>
    <xf numFmtId="165" fontId="0" fillId="3" borderId="41" xfId="0" applyNumberFormat="1" applyFill="1" applyBorder="1" applyAlignment="1">
      <alignment horizontal="center"/>
    </xf>
    <xf numFmtId="165" fontId="0" fillId="3" borderId="18" xfId="0" applyNumberFormat="1" applyFill="1" applyBorder="1" applyAlignment="1">
      <alignment horizontal="center"/>
    </xf>
    <xf numFmtId="165" fontId="0" fillId="3" borderId="19" xfId="0" applyNumberFormat="1" applyFill="1" applyBorder="1" applyAlignment="1">
      <alignment horizontal="center"/>
    </xf>
    <xf numFmtId="0" fontId="0" fillId="3" borderId="8" xfId="0" applyFill="1" applyBorder="1" applyAlignment="1" applyProtection="1">
      <alignment horizontal="center" vertical="top" wrapText="1"/>
    </xf>
    <xf numFmtId="0" fontId="0" fillId="3" borderId="9" xfId="0" applyFill="1" applyBorder="1" applyAlignment="1" applyProtection="1">
      <alignment horizontal="center" vertical="top" wrapText="1"/>
    </xf>
    <xf numFmtId="0" fontId="0" fillId="3" borderId="13" xfId="0" applyFill="1" applyBorder="1" applyAlignment="1" applyProtection="1">
      <alignment horizontal="center" vertical="top" wrapText="1"/>
    </xf>
    <xf numFmtId="0" fontId="0" fillId="3" borderId="10" xfId="0" applyFill="1" applyBorder="1" applyAlignment="1" applyProtection="1">
      <alignment horizontal="center" vertical="top" wrapText="1"/>
    </xf>
    <xf numFmtId="0" fontId="0" fillId="3" borderId="0" xfId="0" applyFill="1" applyBorder="1" applyAlignment="1" applyProtection="1">
      <alignment horizontal="center" vertical="top" wrapText="1"/>
    </xf>
    <xf numFmtId="0" fontId="0" fillId="3" borderId="14" xfId="0" applyFill="1" applyBorder="1" applyAlignment="1" applyProtection="1">
      <alignment horizontal="center" vertical="top" wrapText="1"/>
    </xf>
    <xf numFmtId="0" fontId="0" fillId="3" borderId="11" xfId="0" applyFill="1" applyBorder="1" applyAlignment="1" applyProtection="1">
      <alignment horizontal="center" vertical="top" wrapText="1"/>
    </xf>
    <xf numFmtId="0" fontId="0" fillId="3" borderId="12" xfId="0" applyFill="1" applyBorder="1" applyAlignment="1" applyProtection="1">
      <alignment horizontal="center" vertical="top" wrapText="1"/>
    </xf>
    <xf numFmtId="0" fontId="0" fillId="3" borderId="15" xfId="0" applyFill="1" applyBorder="1" applyAlignment="1" applyProtection="1">
      <alignment horizontal="center" vertical="top" wrapText="1"/>
    </xf>
    <xf numFmtId="0" fontId="10" fillId="2" borderId="2" xfId="0" applyFont="1" applyFill="1" applyBorder="1" applyAlignment="1">
      <alignment horizontal="center"/>
    </xf>
    <xf numFmtId="0" fontId="10" fillId="2" borderId="3" xfId="0" applyFont="1" applyFill="1" applyBorder="1" applyAlignment="1">
      <alignment horizontal="center"/>
    </xf>
    <xf numFmtId="0" fontId="10" fillId="2" borderId="4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0" fontId="7" fillId="2" borderId="4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7" fillId="2" borderId="2" xfId="0" applyFont="1" applyFill="1" applyBorder="1" applyAlignment="1" applyProtection="1">
      <alignment horizontal="center"/>
    </xf>
    <xf numFmtId="0" fontId="7" fillId="2" borderId="3" xfId="0" applyFont="1" applyFill="1" applyBorder="1" applyAlignment="1" applyProtection="1">
      <alignment horizontal="center"/>
    </xf>
    <xf numFmtId="0" fontId="7" fillId="2" borderId="4" xfId="0" applyFont="1" applyFill="1" applyBorder="1" applyAlignment="1" applyProtection="1">
      <alignment horizontal="center"/>
    </xf>
    <xf numFmtId="49" fontId="5" fillId="3" borderId="26" xfId="0" applyNumberFormat="1" applyFont="1" applyFill="1" applyBorder="1" applyAlignment="1" applyProtection="1">
      <alignment horizontal="left"/>
    </xf>
    <xf numFmtId="1" fontId="0" fillId="3" borderId="26" xfId="0" applyNumberFormat="1" applyFill="1" applyBorder="1" applyProtection="1"/>
    <xf numFmtId="1" fontId="0" fillId="3" borderId="5" xfId="0" applyNumberFormat="1" applyFill="1" applyBorder="1"/>
    <xf numFmtId="1" fontId="0" fillId="3" borderId="6" xfId="0" applyNumberFormat="1" applyFill="1" applyBorder="1"/>
    <xf numFmtId="1" fontId="0" fillId="3" borderId="7" xfId="0" applyNumberFormat="1" applyFill="1" applyBorder="1"/>
    <xf numFmtId="49" fontId="2" fillId="3" borderId="44" xfId="0" applyNumberFormat="1" applyFont="1" applyFill="1" applyBorder="1" applyAlignment="1" applyProtection="1">
      <alignment horizontal="left"/>
    </xf>
    <xf numFmtId="49" fontId="3" fillId="3" borderId="45" xfId="0" applyNumberFormat="1" applyFont="1" applyFill="1" applyBorder="1" applyAlignment="1" applyProtection="1">
      <alignment horizontal="left"/>
    </xf>
    <xf numFmtId="2" fontId="0" fillId="3" borderId="45" xfId="0" applyNumberFormat="1" applyFill="1" applyBorder="1" applyProtection="1"/>
    <xf numFmtId="49" fontId="0" fillId="3" borderId="46" xfId="0" quotePrefix="1" applyNumberFormat="1" applyFont="1" applyFill="1" applyBorder="1" applyAlignment="1" applyProtection="1">
      <alignment horizontal="left"/>
    </xf>
  </cellXfs>
  <cellStyles count="2">
    <cellStyle name="Normal" xfId="0" builtinId="0"/>
    <cellStyle name="常规_SALMAPUTO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MY"/>
              <a:t>Pangani 27-10-2007 Salinity Curve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14446177898058232"/>
          <c:y val="0.12611972745831013"/>
          <c:w val="0.78304470106089019"/>
          <c:h val="0.70434025292293012"/>
        </c:manualLayout>
      </c:layout>
      <c:scatterChart>
        <c:scatterStyle val="lineMarker"/>
        <c:varyColors val="0"/>
        <c:ser>
          <c:idx val="2"/>
          <c:order val="0"/>
          <c:tx>
            <c:v>HWS Measured</c:v>
          </c:tx>
          <c:spPr>
            <a:ln w="28575">
              <a:noFill/>
            </a:ln>
          </c:spPr>
          <c:marker>
            <c:symbol val="triangle"/>
            <c:size val="5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'27-10-2007'!$F$5:$F$23</c:f>
              <c:numCache>
                <c:formatCode>General</c:formatCode>
                <c:ptCount val="19"/>
                <c:pt idx="0">
                  <c:v>3000</c:v>
                </c:pt>
                <c:pt idx="1">
                  <c:v>5280</c:v>
                </c:pt>
                <c:pt idx="2">
                  <c:v>7290</c:v>
                </c:pt>
                <c:pt idx="3">
                  <c:v>10230</c:v>
                </c:pt>
                <c:pt idx="4">
                  <c:v>12400</c:v>
                </c:pt>
                <c:pt idx="5">
                  <c:v>14140</c:v>
                </c:pt>
                <c:pt idx="6">
                  <c:v>16580</c:v>
                </c:pt>
                <c:pt idx="7">
                  <c:v>18390</c:v>
                </c:pt>
                <c:pt idx="8">
                  <c:v>20790</c:v>
                </c:pt>
                <c:pt idx="9">
                  <c:v>25350</c:v>
                </c:pt>
              </c:numCache>
            </c:numRef>
          </c:xVal>
          <c:yVal>
            <c:numRef>
              <c:f>'27-10-2007'!$G$5:$G$23</c:f>
              <c:numCache>
                <c:formatCode>0.00</c:formatCode>
                <c:ptCount val="19"/>
                <c:pt idx="0">
                  <c:v>30.475000000000001</c:v>
                </c:pt>
                <c:pt idx="1">
                  <c:v>31</c:v>
                </c:pt>
                <c:pt idx="2">
                  <c:v>31.1</c:v>
                </c:pt>
                <c:pt idx="3">
                  <c:v>30.650000000000002</c:v>
                </c:pt>
                <c:pt idx="4">
                  <c:v>30.7</c:v>
                </c:pt>
                <c:pt idx="5">
                  <c:v>26.125</c:v>
                </c:pt>
                <c:pt idx="6">
                  <c:v>26.025000000000002</c:v>
                </c:pt>
                <c:pt idx="7">
                  <c:v>21.6</c:v>
                </c:pt>
                <c:pt idx="8">
                  <c:v>13.074999999999999</c:v>
                </c:pt>
                <c:pt idx="9">
                  <c:v>4.4749999999999996</c:v>
                </c:pt>
              </c:numCache>
            </c:numRef>
          </c:yVal>
          <c:smooth val="0"/>
        </c:ser>
        <c:ser>
          <c:idx val="1"/>
          <c:order val="1"/>
          <c:tx>
            <c:v>LWS Measured</c:v>
          </c:tx>
          <c:spPr>
            <a:ln w="28575">
              <a:noFill/>
            </a:ln>
          </c:spPr>
          <c:marker>
            <c:symbol val="square"/>
            <c:size val="5"/>
            <c:spPr>
              <a:solidFill>
                <a:srgbClr val="00B050"/>
              </a:solidFill>
              <a:ln>
                <a:solidFill>
                  <a:srgbClr val="00B050"/>
                </a:solidFill>
                <a:prstDash val="solid"/>
              </a:ln>
            </c:spPr>
          </c:marker>
          <c:xVal>
            <c:numRef>
              <c:f>'27-10-2007'!$H$5:$H$23</c:f>
              <c:numCache>
                <c:formatCode>General</c:formatCode>
                <c:ptCount val="19"/>
                <c:pt idx="0">
                  <c:v>3000</c:v>
                </c:pt>
                <c:pt idx="1">
                  <c:v>5280</c:v>
                </c:pt>
                <c:pt idx="2">
                  <c:v>7290</c:v>
                </c:pt>
                <c:pt idx="3">
                  <c:v>10230</c:v>
                </c:pt>
                <c:pt idx="4">
                  <c:v>12400</c:v>
                </c:pt>
                <c:pt idx="5">
                  <c:v>14140</c:v>
                </c:pt>
                <c:pt idx="6">
                  <c:v>16580</c:v>
                </c:pt>
              </c:numCache>
            </c:numRef>
          </c:xVal>
          <c:yVal>
            <c:numRef>
              <c:f>'27-10-2007'!$I$5:$I$23</c:f>
              <c:numCache>
                <c:formatCode>0.00</c:formatCode>
                <c:ptCount val="19"/>
                <c:pt idx="0">
                  <c:v>22.85</c:v>
                </c:pt>
                <c:pt idx="1">
                  <c:v>21.3</c:v>
                </c:pt>
                <c:pt idx="2">
                  <c:v>16.566666666666666</c:v>
                </c:pt>
                <c:pt idx="3">
                  <c:v>11.333333333333334</c:v>
                </c:pt>
                <c:pt idx="4">
                  <c:v>7.75</c:v>
                </c:pt>
                <c:pt idx="5">
                  <c:v>4.2249999999999996</c:v>
                </c:pt>
                <c:pt idx="6">
                  <c:v>1.8</c:v>
                </c:pt>
              </c:numCache>
            </c:numRef>
          </c:yVal>
          <c:smooth val="0"/>
        </c:ser>
        <c:ser>
          <c:idx val="5"/>
          <c:order val="2"/>
          <c:tx>
            <c:v>HWS</c:v>
          </c:tx>
          <c:spPr>
            <a:ln w="25400">
              <a:solidFill>
                <a:srgbClr val="FFFF00"/>
              </a:solidFill>
              <a:prstDash val="solid"/>
            </a:ln>
          </c:spPr>
          <c:marker>
            <c:symbol val="none"/>
          </c:marker>
          <c:xVal>
            <c:numRef>
              <c:f>'27-10-2007'!$I$33:$I$168</c:f>
              <c:numCache>
                <c:formatCode>0</c:formatCode>
                <c:ptCount val="136"/>
                <c:pt idx="0">
                  <c:v>1001.6163295545102</c:v>
                </c:pt>
                <c:pt idx="1">
                  <c:v>6664.0872025129884</c:v>
                </c:pt>
                <c:pt idx="2">
                  <c:v>7304.6416693592764</c:v>
                </c:pt>
                <c:pt idx="3">
                  <c:v>7956.9801624466691</c:v>
                </c:pt>
                <c:pt idx="4">
                  <c:v>8620.716355442959</c:v>
                </c:pt>
                <c:pt idx="5">
                  <c:v>9295.4765872995958</c:v>
                </c:pt>
                <c:pt idx="6">
                  <c:v>9980.8994470343023</c:v>
                </c:pt>
                <c:pt idx="7">
                  <c:v>10676.635372126122</c:v>
                </c:pt>
                <c:pt idx="8">
                  <c:v>11382.346260076667</c:v>
                </c:pt>
                <c:pt idx="9">
                  <c:v>12097.705092705883</c:v>
                </c:pt>
                <c:pt idx="10">
                  <c:v>12822.395572764864</c:v>
                </c:pt>
                <c:pt idx="11">
                  <c:v>13556.111772461942</c:v>
                </c:pt>
                <c:pt idx="12">
                  <c:v>14298.55779351142</c:v>
                </c:pt>
                <c:pt idx="13">
                  <c:v>15049.44743832727</c:v>
                </c:pt>
                <c:pt idx="14">
                  <c:v>15808.50389199637</c:v>
                </c:pt>
                <c:pt idx="15">
                  <c:v>16575.459414677891</c:v>
                </c:pt>
                <c:pt idx="16">
                  <c:v>17350.055044087043</c:v>
                </c:pt>
                <c:pt idx="17">
                  <c:v>18132.040307732565</c:v>
                </c:pt>
                <c:pt idx="18">
                  <c:v>18921.172944588172</c:v>
                </c:pt>
                <c:pt idx="19">
                  <c:v>19717.21863588873</c:v>
                </c:pt>
                <c:pt idx="20">
                  <c:v>20519.950744751954</c:v>
                </c:pt>
                <c:pt idx="21">
                  <c:v>21329.150064336332</c:v>
                </c:pt>
                <c:pt idx="22">
                  <c:v>22144.604574255416</c:v>
                </c:pt>
                <c:pt idx="23">
                  <c:v>22966.109204977816</c:v>
                </c:pt>
                <c:pt idx="24">
                  <c:v>23793.465609951039</c:v>
                </c:pt>
                <c:pt idx="25">
                  <c:v>24626.481945196047</c:v>
                </c:pt>
                <c:pt idx="26">
                  <c:v>25464.972656127527</c:v>
                </c:pt>
                <c:pt idx="27">
                  <c:v>26308.758271363055</c:v>
                </c:pt>
                <c:pt idx="28">
                  <c:v>27157.665203291963</c:v>
                </c:pt>
                <c:pt idx="29">
                  <c:v>28011.525555182379</c:v>
                </c:pt>
                <c:pt idx="30">
                  <c:v>28870.176934612016</c:v>
                </c:pt>
                <c:pt idx="31">
                  <c:v>29733.462273015441</c:v>
                </c:pt>
                <c:pt idx="32">
                  <c:v>30601.229651147281</c:v>
                </c:pt>
                <c:pt idx="33">
                  <c:v>31473.332130267452</c:v>
                </c:pt>
                <c:pt idx="34">
                  <c:v>32349.627588860745</c:v>
                </c:pt>
                <c:pt idx="35">
                  <c:v>33229.978564709432</c:v>
                </c:pt>
                <c:pt idx="36">
                  <c:v>34114.252102143328</c:v>
                </c:pt>
                <c:pt idx="37">
                  <c:v>35002.319604297561</c:v>
                </c:pt>
                <c:pt idx="38">
                  <c:v>35894.056690213969</c:v>
                </c:pt>
                <c:pt idx="39">
                  <c:v>36789.343056627215</c:v>
                </c:pt>
                <c:pt idx="40">
                  <c:v>37688.062344282138</c:v>
                </c:pt>
                <c:pt idx="41">
                  <c:v>38590.102008633687</c:v>
                </c:pt>
                <c:pt idx="42">
                  <c:v>39495.353194785886</c:v>
                </c:pt>
                <c:pt idx="43">
                  <c:v>40403.710616530727</c:v>
                </c:pt>
                <c:pt idx="44">
                  <c:v>41315.072439352647</c:v>
                </c:pt>
                <c:pt idx="45">
                  <c:v>42229.340167268638</c:v>
                </c:pt>
                <c:pt idx="46">
                  <c:v>43146.41853337807</c:v>
                </c:pt>
                <c:pt idx="47">
                  <c:v>44066.21539400085</c:v>
                </c:pt>
                <c:pt idx="48">
                  <c:v>44988.641626285993</c:v>
                </c:pt>
                <c:pt idx="49">
                  <c:v>45913.611029177133</c:v>
                </c:pt>
                <c:pt idx="50">
                  <c:v>46841.040227624668</c:v>
                </c:pt>
                <c:pt idx="51">
                  <c:v>47770.84857993824</c:v>
                </c:pt>
                <c:pt idx="52">
                  <c:v>48702.958088176565</c:v>
                </c:pt>
                <c:pt idx="53">
                  <c:v>49637.293311475027</c:v>
                </c:pt>
                <c:pt idx="54">
                  <c:v>50573.781282214746</c:v>
                </c:pt>
                <c:pt idx="55">
                  <c:v>51512.351424939923</c:v>
                </c:pt>
                <c:pt idx="56">
                  <c:v>52452.935477933395</c:v>
                </c:pt>
                <c:pt idx="57">
                  <c:v>53395.467417363303</c:v>
                </c:pt>
                <c:pt idx="58">
                  <c:v>54339.883383916429</c:v>
                </c:pt>
                <c:pt idx="59">
                  <c:v>55286.12161183689</c:v>
                </c:pt>
                <c:pt idx="60">
                  <c:v>56234.122360291105</c:v>
                </c:pt>
                <c:pt idx="61">
                  <c:v>57183.827846983018</c:v>
                </c:pt>
                <c:pt idx="62">
                  <c:v>58135.182183945522</c:v>
                </c:pt>
                <c:pt idx="63">
                  <c:v>59088.131315437036</c:v>
                </c:pt>
                <c:pt idx="64">
                  <c:v>60042.622957873966</c:v>
                </c:pt>
                <c:pt idx="65">
                  <c:v>60998.606541732479</c:v>
                </c:pt>
                <c:pt idx="66">
                  <c:v>61956.033155354911</c:v>
                </c:pt>
                <c:pt idx="67">
                  <c:v>62914.855490598486</c:v>
                </c:pt>
                <c:pt idx="68">
                  <c:v>63875.02779026582</c:v>
                </c:pt>
                <c:pt idx="69">
                  <c:v>64836.505797258898</c:v>
                </c:pt>
                <c:pt idx="70">
                  <c:v>65799.246705399943</c:v>
                </c:pt>
                <c:pt idx="71">
                  <c:v>66763.20911186462</c:v>
                </c:pt>
                <c:pt idx="72">
                  <c:v>67728.352971174638</c:v>
                </c:pt>
                <c:pt idx="73">
                  <c:v>68694.639550698615</c:v>
                </c:pt>
                <c:pt idx="74">
                  <c:v>69662.031387611889</c:v>
                </c:pt>
                <c:pt idx="75">
                  <c:v>70630.492247267262</c:v>
                </c:pt>
                <c:pt idx="76">
                  <c:v>71599.987082930587</c:v>
                </c:pt>
                <c:pt idx="77">
                  <c:v>72570.481996836301</c:v>
                </c:pt>
                <c:pt idx="78">
                  <c:v>73541.944202519793</c:v>
                </c:pt>
                <c:pt idx="79">
                  <c:v>74514.341988384622</c:v>
                </c:pt>
                <c:pt idx="80">
                  <c:v>75487.644682464146</c:v>
                </c:pt>
                <c:pt idx="81">
                  <c:v>76461.822618338352</c:v>
                </c:pt>
                <c:pt idx="82">
                  <c:v>77436.84710216822</c:v>
                </c:pt>
                <c:pt idx="83">
                  <c:v>78412.6903808106</c:v>
                </c:pt>
                <c:pt idx="84">
                  <c:v>79389.325610978674</c:v>
                </c:pt>
                <c:pt idx="85">
                  <c:v>80366.726829413165</c:v>
                </c:pt>
                <c:pt idx="86">
                  <c:v>81344.868924031733</c:v>
                </c:pt>
                <c:pt idx="87">
                  <c:v>82323.727606023996</c:v>
                </c:pt>
                <c:pt idx="88">
                  <c:v>83303.27938286151</c:v>
                </c:pt>
                <c:pt idx="89">
                  <c:v>84283.501532192502</c:v>
                </c:pt>
                <c:pt idx="90">
                  <c:v>85264.37207659251</c:v>
                </c:pt>
                <c:pt idx="91">
                  <c:v>86245.869759142734</c:v>
                </c:pt>
                <c:pt idx="92">
                  <c:v>87227.974019809088</c:v>
                </c:pt>
                <c:pt idx="93">
                  <c:v>88210.66497259555</c:v>
                </c:pt>
                <c:pt idx="94">
                  <c:v>89193.923383446629</c:v>
                </c:pt>
                <c:pt idx="95">
                  <c:v>90177.730648874116</c:v>
                </c:pt>
                <c:pt idx="96">
                  <c:v>91162.068775284773</c:v>
                </c:pt>
                <c:pt idx="97">
                  <c:v>92146.92035898543</c:v>
                </c:pt>
                <c:pt idx="98">
                  <c:v>93132.268566843908</c:v>
                </c:pt>
                <c:pt idx="99">
                  <c:v>94118.097117583704</c:v>
                </c:pt>
                <c:pt idx="100">
                  <c:v>95104.390263692083</c:v>
                </c:pt>
                <c:pt idx="101">
                  <c:v>96091.132773921141</c:v>
                </c:pt>
                <c:pt idx="102">
                  <c:v>97078.309916362719</c:v>
                </c:pt>
                <c:pt idx="103">
                  <c:v>98065.907442078023</c:v>
                </c:pt>
                <c:pt idx="104">
                  <c:v>99053.911569264048</c:v>
                </c:pt>
                <c:pt idx="105">
                  <c:v>100042.30896793904</c:v>
                </c:pt>
                <c:pt idx="106">
                  <c:v>101031.08674513001</c:v>
                </c:pt>
                <c:pt idx="107">
                  <c:v>102020.23243054593</c:v>
                </c:pt>
                <c:pt idx="108">
                  <c:v>103009.73396272052</c:v>
                </c:pt>
                <c:pt idx="109">
                  <c:v>103999.57967560938</c:v>
                </c:pt>
                <c:pt idx="110">
                  <c:v>104989.75828562657</c:v>
                </c:pt>
                <c:pt idx="111">
                  <c:v>105980.25887910608</c:v>
                </c:pt>
                <c:pt idx="112">
                  <c:v>106971.07090017444</c:v>
                </c:pt>
                <c:pt idx="113">
                  <c:v>107962.18413902087</c:v>
                </c:pt>
                <c:pt idx="114">
                  <c:v>108953.588720552</c:v>
                </c:pt>
                <c:pt idx="115">
                  <c:v>109945.27509341852</c:v>
                </c:pt>
                <c:pt idx="116">
                  <c:v>110937.23401940163</c:v>
                </c:pt>
                <c:pt idx="117">
                  <c:v>111929.45656314731</c:v>
                </c:pt>
                <c:pt idx="118">
                  <c:v>112921.93408223735</c:v>
                </c:pt>
                <c:pt idx="119">
                  <c:v>113914.65821758566</c:v>
                </c:pt>
                <c:pt idx="120">
                  <c:v>114907.62088414961</c:v>
                </c:pt>
                <c:pt idx="121">
                  <c:v>115900.81426194582</c:v>
                </c:pt>
                <c:pt idx="122">
                  <c:v>116894.2307873604</c:v>
                </c:pt>
                <c:pt idx="123">
                  <c:v>117887.86314474429</c:v>
                </c:pt>
                <c:pt idx="124">
                  <c:v>118881.70425828385</c:v>
                </c:pt>
                <c:pt idx="125">
                  <c:v>119875.74728413828</c:v>
                </c:pt>
                <c:pt idx="126">
                  <c:v>120869.98560283454</c:v>
                </c:pt>
                <c:pt idx="127">
                  <c:v>121864.41281191169</c:v>
                </c:pt>
                <c:pt idx="128">
                  <c:v>122859.02271880652</c:v>
                </c:pt>
                <c:pt idx="129">
                  <c:v>123853.80933397208</c:v>
                </c:pt>
                <c:pt idx="130">
                  <c:v>124848.76686422221</c:v>
                </c:pt>
                <c:pt idx="131">
                  <c:v>125843.88970629395</c:v>
                </c:pt>
                <c:pt idx="132">
                  <c:v>126839.17244062113</c:v>
                </c:pt>
                <c:pt idx="133">
                  <c:v>127834.60982531213</c:v>
                </c:pt>
                <c:pt idx="134">
                  <c:v>128830.19679032496</c:v>
                </c:pt>
                <c:pt idx="135">
                  <c:v>129825.92843183338</c:v>
                </c:pt>
              </c:numCache>
            </c:numRef>
          </c:xVal>
          <c:yVal>
            <c:numRef>
              <c:f>'27-10-2007'!$G$33:$G$168</c:f>
              <c:numCache>
                <c:formatCode>#,#00</c:formatCode>
                <c:ptCount val="136"/>
                <c:pt idx="0">
                  <c:v>34.748383130683315</c:v>
                </c:pt>
                <c:pt idx="1">
                  <c:v>31.613605992608573</c:v>
                </c:pt>
                <c:pt idx="2">
                  <c:v>31.164731882236218</c:v>
                </c:pt>
                <c:pt idx="3">
                  <c:v>30.684062046209238</c:v>
                </c:pt>
                <c:pt idx="4">
                  <c:v>30.169411500111842</c:v>
                </c:pt>
                <c:pt idx="5">
                  <c:v>29.618457494462863</c:v>
                </c:pt>
                <c:pt idx="6">
                  <c:v>29.028733398188166</c:v>
                </c:pt>
                <c:pt idx="7">
                  <c:v>28.397622957265121</c:v>
                </c:pt>
                <c:pt idx="8">
                  <c:v>27.722355157891851</c:v>
                </c:pt>
                <c:pt idx="9">
                  <c:v>27</c:v>
                </c:pt>
                <c:pt idx="10">
                  <c:v>26.227465590380969</c:v>
                </c:pt>
                <c:pt idx="11">
                  <c:v>25.401497106350742</c:v>
                </c:pt>
                <c:pt idx="12">
                  <c:v>24.518678377556792</c:v>
                </c:pt>
                <c:pt idx="13">
                  <c:v>23.575437110974843</c:v>
                </c:pt>
                <c:pt idx="14">
                  <c:v>22.568055182700316</c:v>
                </c:pt>
                <c:pt idx="15">
                  <c:v>21.492686004717246</c:v>
                </c:pt>
                <c:pt idx="16">
                  <c:v>20.345381852972206</c:v>
                </c:pt>
                <c:pt idx="17">
                  <c:v>19.122135399021857</c:v>
                </c:pt>
                <c:pt idx="18">
                  <c:v>17.818941849081462</c:v>
                </c:pt>
                <c:pt idx="19">
                  <c:v>16.431891670965836</c:v>
                </c:pt>
                <c:pt idx="20">
                  <c:v>14.957310073864523</c:v>
                </c:pt>
                <c:pt idx="21">
                  <c:v>13.391970678006013</c:v>
                </c:pt>
                <c:pt idx="22">
                  <c:v>11.733432719071216</c:v>
                </c:pt>
                <c:pt idx="23">
                  <c:v>9.9805972640707061</c:v>
                </c:pt>
                <c:pt idx="24">
                  <c:v>8.1346856289583833</c:v>
                </c:pt>
                <c:pt idx="25">
                  <c:v>6.2011323275713455</c:v>
                </c:pt>
                <c:pt idx="26">
                  <c:v>4.1938351343027911</c:v>
                </c:pt>
                <c:pt idx="27">
                  <c:v>2.1475751550835538</c:v>
                </c:pt>
                <c:pt idx="28">
                  <c:v>0.19184619526157834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</c:numCache>
            </c:numRef>
          </c:yVal>
          <c:smooth val="0"/>
        </c:ser>
        <c:ser>
          <c:idx val="3"/>
          <c:order val="3"/>
          <c:tx>
            <c:v>TA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'27-10-2007'!$B$37:$B$168</c:f>
              <c:numCache>
                <c:formatCode>General</c:formatCode>
                <c:ptCount val="132"/>
                <c:pt idx="0">
                  <c:v>-1300</c:v>
                </c:pt>
                <c:pt idx="1">
                  <c:v>-300</c:v>
                </c:pt>
                <c:pt idx="2">
                  <c:v>700</c:v>
                </c:pt>
                <c:pt idx="3">
                  <c:v>1700</c:v>
                </c:pt>
                <c:pt idx="4">
                  <c:v>2700</c:v>
                </c:pt>
                <c:pt idx="5">
                  <c:v>3700</c:v>
                </c:pt>
                <c:pt idx="6">
                  <c:v>4700</c:v>
                </c:pt>
                <c:pt idx="7">
                  <c:v>5700</c:v>
                </c:pt>
                <c:pt idx="8">
                  <c:v>6700</c:v>
                </c:pt>
                <c:pt idx="9">
                  <c:v>7700</c:v>
                </c:pt>
                <c:pt idx="10">
                  <c:v>8700</c:v>
                </c:pt>
                <c:pt idx="11">
                  <c:v>9700</c:v>
                </c:pt>
                <c:pt idx="12">
                  <c:v>10700</c:v>
                </c:pt>
                <c:pt idx="13">
                  <c:v>11700</c:v>
                </c:pt>
                <c:pt idx="14">
                  <c:v>12700</c:v>
                </c:pt>
                <c:pt idx="15">
                  <c:v>13700</c:v>
                </c:pt>
                <c:pt idx="16">
                  <c:v>14700</c:v>
                </c:pt>
                <c:pt idx="17">
                  <c:v>15700</c:v>
                </c:pt>
                <c:pt idx="18">
                  <c:v>16700</c:v>
                </c:pt>
                <c:pt idx="19">
                  <c:v>17700</c:v>
                </c:pt>
                <c:pt idx="20">
                  <c:v>18700</c:v>
                </c:pt>
                <c:pt idx="21">
                  <c:v>19700</c:v>
                </c:pt>
                <c:pt idx="22">
                  <c:v>20700</c:v>
                </c:pt>
                <c:pt idx="23">
                  <c:v>21700</c:v>
                </c:pt>
                <c:pt idx="24">
                  <c:v>22700</c:v>
                </c:pt>
                <c:pt idx="25">
                  <c:v>23700</c:v>
                </c:pt>
                <c:pt idx="26">
                  <c:v>24700</c:v>
                </c:pt>
                <c:pt idx="27">
                  <c:v>25700</c:v>
                </c:pt>
                <c:pt idx="28">
                  <c:v>26700</c:v>
                </c:pt>
                <c:pt idx="29">
                  <c:v>27700</c:v>
                </c:pt>
                <c:pt idx="30">
                  <c:v>28700</c:v>
                </c:pt>
                <c:pt idx="31">
                  <c:v>29700</c:v>
                </c:pt>
                <c:pt idx="32">
                  <c:v>30700</c:v>
                </c:pt>
                <c:pt idx="33">
                  <c:v>31700</c:v>
                </c:pt>
                <c:pt idx="34">
                  <c:v>32700</c:v>
                </c:pt>
                <c:pt idx="35">
                  <c:v>33700</c:v>
                </c:pt>
                <c:pt idx="36">
                  <c:v>34700</c:v>
                </c:pt>
                <c:pt idx="37">
                  <c:v>35700</c:v>
                </c:pt>
                <c:pt idx="38">
                  <c:v>36700</c:v>
                </c:pt>
                <c:pt idx="39">
                  <c:v>37700</c:v>
                </c:pt>
                <c:pt idx="40">
                  <c:v>38700</c:v>
                </c:pt>
                <c:pt idx="41">
                  <c:v>39700</c:v>
                </c:pt>
                <c:pt idx="42">
                  <c:v>40700</c:v>
                </c:pt>
                <c:pt idx="43">
                  <c:v>41700</c:v>
                </c:pt>
                <c:pt idx="44">
                  <c:v>42700</c:v>
                </c:pt>
                <c:pt idx="45">
                  <c:v>43700</c:v>
                </c:pt>
                <c:pt idx="46">
                  <c:v>44700</c:v>
                </c:pt>
                <c:pt idx="47">
                  <c:v>45700</c:v>
                </c:pt>
                <c:pt idx="48">
                  <c:v>46700</c:v>
                </c:pt>
                <c:pt idx="49">
                  <c:v>47700</c:v>
                </c:pt>
                <c:pt idx="50">
                  <c:v>48700</c:v>
                </c:pt>
                <c:pt idx="51">
                  <c:v>49700</c:v>
                </c:pt>
                <c:pt idx="52">
                  <c:v>50700</c:v>
                </c:pt>
                <c:pt idx="53">
                  <c:v>51700</c:v>
                </c:pt>
                <c:pt idx="54">
                  <c:v>52700</c:v>
                </c:pt>
                <c:pt idx="55">
                  <c:v>53700</c:v>
                </c:pt>
                <c:pt idx="56">
                  <c:v>54700</c:v>
                </c:pt>
                <c:pt idx="57">
                  <c:v>55700</c:v>
                </c:pt>
                <c:pt idx="58">
                  <c:v>56700</c:v>
                </c:pt>
                <c:pt idx="59">
                  <c:v>57700</c:v>
                </c:pt>
                <c:pt idx="60">
                  <c:v>58700</c:v>
                </c:pt>
                <c:pt idx="61">
                  <c:v>59700</c:v>
                </c:pt>
                <c:pt idx="62">
                  <c:v>60700</c:v>
                </c:pt>
                <c:pt idx="63">
                  <c:v>61700</c:v>
                </c:pt>
                <c:pt idx="64">
                  <c:v>62700</c:v>
                </c:pt>
                <c:pt idx="65">
                  <c:v>63700</c:v>
                </c:pt>
                <c:pt idx="66">
                  <c:v>64700</c:v>
                </c:pt>
                <c:pt idx="67">
                  <c:v>65700</c:v>
                </c:pt>
                <c:pt idx="68">
                  <c:v>66700</c:v>
                </c:pt>
                <c:pt idx="69">
                  <c:v>67700</c:v>
                </c:pt>
                <c:pt idx="70">
                  <c:v>68700</c:v>
                </c:pt>
                <c:pt idx="71">
                  <c:v>69700</c:v>
                </c:pt>
                <c:pt idx="72">
                  <c:v>70700</c:v>
                </c:pt>
                <c:pt idx="73">
                  <c:v>71700</c:v>
                </c:pt>
                <c:pt idx="74">
                  <c:v>72700</c:v>
                </c:pt>
                <c:pt idx="75">
                  <c:v>73700</c:v>
                </c:pt>
                <c:pt idx="76">
                  <c:v>74700</c:v>
                </c:pt>
                <c:pt idx="77">
                  <c:v>75700</c:v>
                </c:pt>
                <c:pt idx="78">
                  <c:v>76700</c:v>
                </c:pt>
                <c:pt idx="79">
                  <c:v>77700</c:v>
                </c:pt>
                <c:pt idx="80">
                  <c:v>78700</c:v>
                </c:pt>
                <c:pt idx="81">
                  <c:v>79700</c:v>
                </c:pt>
                <c:pt idx="82">
                  <c:v>80700</c:v>
                </c:pt>
                <c:pt idx="83">
                  <c:v>81700</c:v>
                </c:pt>
                <c:pt idx="84">
                  <c:v>82700</c:v>
                </c:pt>
                <c:pt idx="85">
                  <c:v>83700</c:v>
                </c:pt>
                <c:pt idx="86">
                  <c:v>84700</c:v>
                </c:pt>
                <c:pt idx="87">
                  <c:v>85700</c:v>
                </c:pt>
                <c:pt idx="88">
                  <c:v>86700</c:v>
                </c:pt>
                <c:pt idx="89">
                  <c:v>87700</c:v>
                </c:pt>
                <c:pt idx="90">
                  <c:v>88700</c:v>
                </c:pt>
                <c:pt idx="91">
                  <c:v>89700</c:v>
                </c:pt>
                <c:pt idx="92">
                  <c:v>90700</c:v>
                </c:pt>
                <c:pt idx="93">
                  <c:v>91700</c:v>
                </c:pt>
                <c:pt idx="94">
                  <c:v>92700</c:v>
                </c:pt>
                <c:pt idx="95">
                  <c:v>93700</c:v>
                </c:pt>
                <c:pt idx="96">
                  <c:v>94700</c:v>
                </c:pt>
                <c:pt idx="97">
                  <c:v>95700</c:v>
                </c:pt>
                <c:pt idx="98">
                  <c:v>96700</c:v>
                </c:pt>
                <c:pt idx="99">
                  <c:v>97700</c:v>
                </c:pt>
                <c:pt idx="100">
                  <c:v>98700</c:v>
                </c:pt>
                <c:pt idx="101">
                  <c:v>99700</c:v>
                </c:pt>
                <c:pt idx="102">
                  <c:v>100700</c:v>
                </c:pt>
                <c:pt idx="103">
                  <c:v>101700</c:v>
                </c:pt>
                <c:pt idx="104">
                  <c:v>102700</c:v>
                </c:pt>
                <c:pt idx="105">
                  <c:v>103700</c:v>
                </c:pt>
                <c:pt idx="106">
                  <c:v>104700</c:v>
                </c:pt>
                <c:pt idx="107">
                  <c:v>105700</c:v>
                </c:pt>
                <c:pt idx="108">
                  <c:v>106700</c:v>
                </c:pt>
                <c:pt idx="109">
                  <c:v>107700</c:v>
                </c:pt>
                <c:pt idx="110">
                  <c:v>108700</c:v>
                </c:pt>
                <c:pt idx="111">
                  <c:v>109700</c:v>
                </c:pt>
                <c:pt idx="112">
                  <c:v>110700</c:v>
                </c:pt>
                <c:pt idx="113">
                  <c:v>111700</c:v>
                </c:pt>
                <c:pt idx="114">
                  <c:v>112700</c:v>
                </c:pt>
                <c:pt idx="115">
                  <c:v>113700</c:v>
                </c:pt>
                <c:pt idx="116">
                  <c:v>114700</c:v>
                </c:pt>
                <c:pt idx="117">
                  <c:v>115700</c:v>
                </c:pt>
                <c:pt idx="118">
                  <c:v>116700</c:v>
                </c:pt>
                <c:pt idx="119">
                  <c:v>117700</c:v>
                </c:pt>
                <c:pt idx="120">
                  <c:v>118700</c:v>
                </c:pt>
                <c:pt idx="121">
                  <c:v>119700</c:v>
                </c:pt>
                <c:pt idx="122">
                  <c:v>120700</c:v>
                </c:pt>
                <c:pt idx="123">
                  <c:v>121700</c:v>
                </c:pt>
                <c:pt idx="124">
                  <c:v>122700</c:v>
                </c:pt>
                <c:pt idx="125">
                  <c:v>123700</c:v>
                </c:pt>
                <c:pt idx="126">
                  <c:v>124700</c:v>
                </c:pt>
                <c:pt idx="127">
                  <c:v>125700</c:v>
                </c:pt>
                <c:pt idx="128">
                  <c:v>126700</c:v>
                </c:pt>
                <c:pt idx="129">
                  <c:v>127700</c:v>
                </c:pt>
                <c:pt idx="130">
                  <c:v>128700</c:v>
                </c:pt>
                <c:pt idx="131">
                  <c:v>129700</c:v>
                </c:pt>
              </c:numCache>
            </c:numRef>
          </c:xVal>
          <c:yVal>
            <c:numRef>
              <c:f>'27-10-2007'!$G$37:$G$168</c:f>
              <c:numCache>
                <c:formatCode>#,#00</c:formatCode>
                <c:ptCount val="132"/>
                <c:pt idx="0">
                  <c:v>30.169411500111842</c:v>
                </c:pt>
                <c:pt idx="1">
                  <c:v>29.618457494462863</c:v>
                </c:pt>
                <c:pt idx="2">
                  <c:v>29.028733398188166</c:v>
                </c:pt>
                <c:pt idx="3">
                  <c:v>28.397622957265121</c:v>
                </c:pt>
                <c:pt idx="4">
                  <c:v>27.722355157891851</c:v>
                </c:pt>
                <c:pt idx="5">
                  <c:v>27</c:v>
                </c:pt>
                <c:pt idx="6">
                  <c:v>26.227465590380969</c:v>
                </c:pt>
                <c:pt idx="7">
                  <c:v>25.401497106350742</c:v>
                </c:pt>
                <c:pt idx="8">
                  <c:v>24.518678377556792</c:v>
                </c:pt>
                <c:pt idx="9">
                  <c:v>23.575437110974843</c:v>
                </c:pt>
                <c:pt idx="10">
                  <c:v>22.568055182700316</c:v>
                </c:pt>
                <c:pt idx="11">
                  <c:v>21.492686004717246</c:v>
                </c:pt>
                <c:pt idx="12">
                  <c:v>20.345381852972206</c:v>
                </c:pt>
                <c:pt idx="13">
                  <c:v>19.122135399021857</c:v>
                </c:pt>
                <c:pt idx="14">
                  <c:v>17.818941849081462</c:v>
                </c:pt>
                <c:pt idx="15">
                  <c:v>16.431891670965836</c:v>
                </c:pt>
                <c:pt idx="16">
                  <c:v>14.957310073864523</c:v>
                </c:pt>
                <c:pt idx="17">
                  <c:v>13.391970678006013</c:v>
                </c:pt>
                <c:pt idx="18">
                  <c:v>11.733432719071216</c:v>
                </c:pt>
                <c:pt idx="19">
                  <c:v>9.9805972640707061</c:v>
                </c:pt>
                <c:pt idx="20">
                  <c:v>8.1346856289583833</c:v>
                </c:pt>
                <c:pt idx="21">
                  <c:v>6.2011323275713455</c:v>
                </c:pt>
                <c:pt idx="22">
                  <c:v>4.1938351343027911</c:v>
                </c:pt>
                <c:pt idx="23">
                  <c:v>2.1475751550835538</c:v>
                </c:pt>
                <c:pt idx="24">
                  <c:v>0.19184619526157834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</c:numCache>
            </c:numRef>
          </c:yVal>
          <c:smooth val="0"/>
        </c:ser>
        <c:ser>
          <c:idx val="4"/>
          <c:order val="4"/>
          <c:tx>
            <c:v>LWS</c:v>
          </c:tx>
          <c:spPr>
            <a:ln w="25400">
              <a:solidFill>
                <a:schemeClr val="tx2"/>
              </a:solidFill>
              <a:prstDash val="solid"/>
            </a:ln>
          </c:spPr>
          <c:marker>
            <c:symbol val="none"/>
          </c:marker>
          <c:xVal>
            <c:numRef>
              <c:f>'27-10-2007'!$H$42:$H$168</c:f>
              <c:numCache>
                <c:formatCode>0</c:formatCode>
                <c:ptCount val="127"/>
                <c:pt idx="0">
                  <c:v>-4697.7050927058826</c:v>
                </c:pt>
                <c:pt idx="1">
                  <c:v>-3422.3955727648654</c:v>
                </c:pt>
                <c:pt idx="2">
                  <c:v>-2156.1117724619417</c:v>
                </c:pt>
                <c:pt idx="3">
                  <c:v>-898.55779351141973</c:v>
                </c:pt>
                <c:pt idx="4">
                  <c:v>350.55256167273001</c:v>
                </c:pt>
                <c:pt idx="5">
                  <c:v>1591.4961080036301</c:v>
                </c:pt>
                <c:pt idx="6">
                  <c:v>2824.5405853221091</c:v>
                </c:pt>
                <c:pt idx="7">
                  <c:v>4049.9449559129562</c:v>
                </c:pt>
                <c:pt idx="8">
                  <c:v>5267.9596922674355</c:v>
                </c:pt>
                <c:pt idx="9">
                  <c:v>6478.827055411828</c:v>
                </c:pt>
                <c:pt idx="10">
                  <c:v>7682.7813641112689</c:v>
                </c:pt>
                <c:pt idx="11">
                  <c:v>8880.0492552480464</c:v>
                </c:pt>
                <c:pt idx="12">
                  <c:v>10070.849935663669</c:v>
                </c:pt>
                <c:pt idx="13">
                  <c:v>11255.395425744584</c:v>
                </c:pt>
                <c:pt idx="14">
                  <c:v>12433.890795022184</c:v>
                </c:pt>
                <c:pt idx="15">
                  <c:v>13606.534390048961</c:v>
                </c:pt>
                <c:pt idx="16">
                  <c:v>14773.518054803953</c:v>
                </c:pt>
                <c:pt idx="17">
                  <c:v>15935.027343872473</c:v>
                </c:pt>
                <c:pt idx="18">
                  <c:v>17091.241728636945</c:v>
                </c:pt>
                <c:pt idx="19">
                  <c:v>18242.334796708037</c:v>
                </c:pt>
                <c:pt idx="20">
                  <c:v>19388.474444817621</c:v>
                </c:pt>
                <c:pt idx="21">
                  <c:v>20529.823065387984</c:v>
                </c:pt>
                <c:pt idx="22">
                  <c:v>21666.537726984559</c:v>
                </c:pt>
                <c:pt idx="23">
                  <c:v>22798.770348852719</c:v>
                </c:pt>
                <c:pt idx="24">
                  <c:v>23926.667869732548</c:v>
                </c:pt>
                <c:pt idx="25">
                  <c:v>25050.372411139255</c:v>
                </c:pt>
                <c:pt idx="26">
                  <c:v>26170.021435290568</c:v>
                </c:pt>
                <c:pt idx="27">
                  <c:v>27285.747897856672</c:v>
                </c:pt>
                <c:pt idx="28">
                  <c:v>28397.680395702439</c:v>
                </c:pt>
                <c:pt idx="29">
                  <c:v>29505.943309786035</c:v>
                </c:pt>
                <c:pt idx="30">
                  <c:v>30610.656943372785</c:v>
                </c:pt>
                <c:pt idx="31">
                  <c:v>31711.937655717866</c:v>
                </c:pt>
                <c:pt idx="32">
                  <c:v>32809.897991366313</c:v>
                </c:pt>
                <c:pt idx="33">
                  <c:v>33904.646805214114</c:v>
                </c:pt>
                <c:pt idx="34">
                  <c:v>34996.289383469273</c:v>
                </c:pt>
                <c:pt idx="35">
                  <c:v>36084.927560647353</c:v>
                </c:pt>
                <c:pt idx="36">
                  <c:v>37170.659832731362</c:v>
                </c:pt>
                <c:pt idx="37">
                  <c:v>38253.58146662193</c:v>
                </c:pt>
                <c:pt idx="38">
                  <c:v>39333.78460599915</c:v>
                </c:pt>
                <c:pt idx="39">
                  <c:v>40411.358373714007</c:v>
                </c:pt>
                <c:pt idx="40">
                  <c:v>41486.388970822867</c:v>
                </c:pt>
                <c:pt idx="41">
                  <c:v>42558.959772375332</c:v>
                </c:pt>
                <c:pt idx="42">
                  <c:v>43629.15142006176</c:v>
                </c:pt>
                <c:pt idx="43">
                  <c:v>44697.041911823435</c:v>
                </c:pt>
                <c:pt idx="44">
                  <c:v>45762.706688524973</c:v>
                </c:pt>
                <c:pt idx="45">
                  <c:v>46826.218717785254</c:v>
                </c:pt>
                <c:pt idx="46">
                  <c:v>47887.648575060077</c:v>
                </c:pt>
                <c:pt idx="47">
                  <c:v>48947.064522066605</c:v>
                </c:pt>
                <c:pt idx="48">
                  <c:v>50004.532582636697</c:v>
                </c:pt>
                <c:pt idx="49">
                  <c:v>51060.116616083571</c:v>
                </c:pt>
                <c:pt idx="50">
                  <c:v>52113.87838816311</c:v>
                </c:pt>
                <c:pt idx="51">
                  <c:v>53165.877639708895</c:v>
                </c:pt>
                <c:pt idx="52">
                  <c:v>54216.172153016982</c:v>
                </c:pt>
                <c:pt idx="53">
                  <c:v>55264.817816054478</c:v>
                </c:pt>
                <c:pt idx="54">
                  <c:v>56311.868684562964</c:v>
                </c:pt>
                <c:pt idx="55">
                  <c:v>57357.377042126034</c:v>
                </c:pt>
                <c:pt idx="56">
                  <c:v>58401.393458267521</c:v>
                </c:pt>
                <c:pt idx="57">
                  <c:v>59443.966844645089</c:v>
                </c:pt>
                <c:pt idx="58">
                  <c:v>60485.144509401514</c:v>
                </c:pt>
                <c:pt idx="59">
                  <c:v>61524.97220973418</c:v>
                </c:pt>
                <c:pt idx="60">
                  <c:v>62563.494202741102</c:v>
                </c:pt>
                <c:pt idx="61">
                  <c:v>63600.753294600057</c:v>
                </c:pt>
                <c:pt idx="62">
                  <c:v>64636.790888135372</c:v>
                </c:pt>
                <c:pt idx="63">
                  <c:v>65671.647028825362</c:v>
                </c:pt>
                <c:pt idx="64">
                  <c:v>66705.360449301385</c:v>
                </c:pt>
                <c:pt idx="65">
                  <c:v>67737.968612388111</c:v>
                </c:pt>
                <c:pt idx="66">
                  <c:v>68769.507752732738</c:v>
                </c:pt>
                <c:pt idx="67">
                  <c:v>69800.012917069413</c:v>
                </c:pt>
                <c:pt idx="68">
                  <c:v>70829.518003163699</c:v>
                </c:pt>
                <c:pt idx="69">
                  <c:v>71858.055797480207</c:v>
                </c:pt>
                <c:pt idx="70">
                  <c:v>72885.658011615378</c:v>
                </c:pt>
                <c:pt idx="71">
                  <c:v>73912.355317535854</c:v>
                </c:pt>
                <c:pt idx="72">
                  <c:v>74938.177381661648</c:v>
                </c:pt>
                <c:pt idx="73">
                  <c:v>75963.15289783178</c:v>
                </c:pt>
                <c:pt idx="74">
                  <c:v>76987.3096191894</c:v>
                </c:pt>
                <c:pt idx="75">
                  <c:v>78010.674389021326</c:v>
                </c:pt>
                <c:pt idx="76">
                  <c:v>79033.273170586835</c:v>
                </c:pt>
                <c:pt idx="77">
                  <c:v>80055.131075968267</c:v>
                </c:pt>
                <c:pt idx="78">
                  <c:v>81076.272393976004</c:v>
                </c:pt>
                <c:pt idx="79">
                  <c:v>82096.72061713849</c:v>
                </c:pt>
                <c:pt idx="80">
                  <c:v>83116.498467807498</c:v>
                </c:pt>
                <c:pt idx="81">
                  <c:v>84135.62792340749</c:v>
                </c:pt>
                <c:pt idx="82">
                  <c:v>85154.130240857266</c:v>
                </c:pt>
                <c:pt idx="83">
                  <c:v>86172.025980190912</c:v>
                </c:pt>
                <c:pt idx="84">
                  <c:v>87189.33502740445</c:v>
                </c:pt>
                <c:pt idx="85">
                  <c:v>88206.076616553371</c:v>
                </c:pt>
                <c:pt idx="86">
                  <c:v>89222.269351125884</c:v>
                </c:pt>
                <c:pt idx="87">
                  <c:v>90237.931224715227</c:v>
                </c:pt>
                <c:pt idx="88">
                  <c:v>91253.07964101457</c:v>
                </c:pt>
                <c:pt idx="89">
                  <c:v>92267.731433156092</c:v>
                </c:pt>
                <c:pt idx="90">
                  <c:v>93281.902882416296</c:v>
                </c:pt>
                <c:pt idx="91">
                  <c:v>94295.609736307917</c:v>
                </c:pt>
                <c:pt idx="92">
                  <c:v>95308.867226078859</c:v>
                </c:pt>
                <c:pt idx="93">
                  <c:v>96321.690083637281</c:v>
                </c:pt>
                <c:pt idx="94">
                  <c:v>97334.092557921977</c:v>
                </c:pt>
                <c:pt idx="95">
                  <c:v>98346.088430735952</c:v>
                </c:pt>
                <c:pt idx="96">
                  <c:v>99357.69103206096</c:v>
                </c:pt>
                <c:pt idx="97">
                  <c:v>100368.91325486999</c:v>
                </c:pt>
                <c:pt idx="98">
                  <c:v>101379.76756945407</c:v>
                </c:pt>
                <c:pt idx="99">
                  <c:v>102390.26603727948</c:v>
                </c:pt>
                <c:pt idx="100">
                  <c:v>103400.42032439062</c:v>
                </c:pt>
                <c:pt idx="101">
                  <c:v>104410.24171437343</c:v>
                </c:pt>
                <c:pt idx="102">
                  <c:v>105419.74112089392</c:v>
                </c:pt>
                <c:pt idx="103">
                  <c:v>106428.92909982556</c:v>
                </c:pt>
                <c:pt idx="104">
                  <c:v>107437.81586097913</c:v>
                </c:pt>
                <c:pt idx="105">
                  <c:v>108446.411279448</c:v>
                </c:pt>
                <c:pt idx="106">
                  <c:v>109454.72490658148</c:v>
                </c:pt>
                <c:pt idx="107">
                  <c:v>110462.76598059837</c:v>
                </c:pt>
                <c:pt idx="108">
                  <c:v>111470.54343685269</c:v>
                </c:pt>
                <c:pt idx="109">
                  <c:v>112478.06591776265</c:v>
                </c:pt>
                <c:pt idx="110">
                  <c:v>113485.34178241434</c:v>
                </c:pt>
                <c:pt idx="111">
                  <c:v>114492.37911585039</c:v>
                </c:pt>
                <c:pt idx="112">
                  <c:v>115499.18573805418</c:v>
                </c:pt>
                <c:pt idx="113">
                  <c:v>116505.7692126396</c:v>
                </c:pt>
                <c:pt idx="114">
                  <c:v>117512.13685525571</c:v>
                </c:pt>
                <c:pt idx="115">
                  <c:v>118518.29574171615</c:v>
                </c:pt>
                <c:pt idx="116">
                  <c:v>119524.25271586172</c:v>
                </c:pt>
                <c:pt idx="117">
                  <c:v>120530.01439716546</c:v>
                </c:pt>
                <c:pt idx="118">
                  <c:v>121535.58718808831</c:v>
                </c:pt>
                <c:pt idx="119">
                  <c:v>122540.97728119348</c:v>
                </c:pt>
                <c:pt idx="120">
                  <c:v>123546.19066602792</c:v>
                </c:pt>
                <c:pt idx="121">
                  <c:v>124551.23313577779</c:v>
                </c:pt>
                <c:pt idx="122">
                  <c:v>125556.11029370605</c:v>
                </c:pt>
                <c:pt idx="123">
                  <c:v>126560.82755937887</c:v>
                </c:pt>
                <c:pt idx="124">
                  <c:v>127565.39017468787</c:v>
                </c:pt>
                <c:pt idx="125">
                  <c:v>128569.80320967504</c:v>
                </c:pt>
                <c:pt idx="126">
                  <c:v>129574.07156816662</c:v>
                </c:pt>
              </c:numCache>
            </c:numRef>
          </c:xVal>
          <c:yVal>
            <c:numRef>
              <c:f>'27-10-2007'!$G$42:$G$168</c:f>
              <c:numCache>
                <c:formatCode>#,#00</c:formatCode>
                <c:ptCount val="127"/>
                <c:pt idx="0">
                  <c:v>27</c:v>
                </c:pt>
                <c:pt idx="1">
                  <c:v>26.227465590380969</c:v>
                </c:pt>
                <c:pt idx="2">
                  <c:v>25.401497106350742</c:v>
                </c:pt>
                <c:pt idx="3">
                  <c:v>24.518678377556792</c:v>
                </c:pt>
                <c:pt idx="4">
                  <c:v>23.575437110974843</c:v>
                </c:pt>
                <c:pt idx="5">
                  <c:v>22.568055182700316</c:v>
                </c:pt>
                <c:pt idx="6">
                  <c:v>21.492686004717246</c:v>
                </c:pt>
                <c:pt idx="7">
                  <c:v>20.345381852972206</c:v>
                </c:pt>
                <c:pt idx="8">
                  <c:v>19.122135399021857</c:v>
                </c:pt>
                <c:pt idx="9">
                  <c:v>17.818941849081462</c:v>
                </c:pt>
                <c:pt idx="10">
                  <c:v>16.431891670965836</c:v>
                </c:pt>
                <c:pt idx="11">
                  <c:v>14.957310073864523</c:v>
                </c:pt>
                <c:pt idx="12">
                  <c:v>13.391970678006013</c:v>
                </c:pt>
                <c:pt idx="13">
                  <c:v>11.733432719071216</c:v>
                </c:pt>
                <c:pt idx="14">
                  <c:v>9.9805972640707061</c:v>
                </c:pt>
                <c:pt idx="15">
                  <c:v>8.1346856289583833</c:v>
                </c:pt>
                <c:pt idx="16">
                  <c:v>6.2011323275713455</c:v>
                </c:pt>
                <c:pt idx="17">
                  <c:v>4.1938351343027911</c:v>
                </c:pt>
                <c:pt idx="18">
                  <c:v>2.1475751550835538</c:v>
                </c:pt>
                <c:pt idx="19">
                  <c:v>0.19184619526157834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8870784"/>
        <c:axId val="79361536"/>
      </c:scatterChart>
      <c:valAx>
        <c:axId val="78870784"/>
        <c:scaling>
          <c:orientation val="minMax"/>
          <c:max val="30000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Distance (m)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79361536"/>
        <c:crosses val="autoZero"/>
        <c:crossBetween val="midCat"/>
      </c:valAx>
      <c:valAx>
        <c:axId val="79361536"/>
        <c:scaling>
          <c:orientation val="minMax"/>
          <c:max val="35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Salinity (ppt)</a:t>
                </a:r>
              </a:p>
            </c:rich>
          </c:tx>
          <c:layout/>
          <c:overlay val="0"/>
        </c:title>
        <c:numFmt formatCode="0.0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78870784"/>
        <c:crosses val="autoZero"/>
        <c:crossBetween val="midCat"/>
      </c:valAx>
      <c:spPr>
        <a:solidFill>
          <a:schemeClr val="bg1">
            <a:lumMod val="85000"/>
          </a:schemeClr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67874946424854032"/>
          <c:y val="0.26716210473690777"/>
          <c:w val="0.21000526567149569"/>
          <c:h val="0.28909286339207629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0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nl-NL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nl-NL"/>
    </a:p>
  </c:txPr>
  <c:printSettings>
    <c:headerFooter alignWithMargins="0"/>
    <c:pageMargins b="1" l="0.75000000000000022" r="0.75000000000000022" t="1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MY"/>
              <a:t>Pangani 11-12-2007 Salinity Curve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14446177898058232"/>
          <c:y val="0.12611972745831013"/>
          <c:w val="0.78304470106089019"/>
          <c:h val="0.70434025292293012"/>
        </c:manualLayout>
      </c:layout>
      <c:scatterChart>
        <c:scatterStyle val="lineMarker"/>
        <c:varyColors val="0"/>
        <c:ser>
          <c:idx val="2"/>
          <c:order val="0"/>
          <c:tx>
            <c:v>HWS Measured</c:v>
          </c:tx>
          <c:spPr>
            <a:ln w="28575">
              <a:noFill/>
            </a:ln>
          </c:spPr>
          <c:marker>
            <c:symbol val="triangle"/>
            <c:size val="5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'11-12-2007'!$F$5:$F$23</c:f>
              <c:numCache>
                <c:formatCode>General</c:formatCode>
                <c:ptCount val="19"/>
                <c:pt idx="0">
                  <c:v>3000</c:v>
                </c:pt>
                <c:pt idx="1">
                  <c:v>5280</c:v>
                </c:pt>
                <c:pt idx="2">
                  <c:v>7290</c:v>
                </c:pt>
                <c:pt idx="3">
                  <c:v>10230</c:v>
                </c:pt>
                <c:pt idx="4">
                  <c:v>12400</c:v>
                </c:pt>
                <c:pt idx="5">
                  <c:v>14140</c:v>
                </c:pt>
                <c:pt idx="6">
                  <c:v>16580</c:v>
                </c:pt>
                <c:pt idx="7">
                  <c:v>18390</c:v>
                </c:pt>
                <c:pt idx="8">
                  <c:v>20790</c:v>
                </c:pt>
              </c:numCache>
            </c:numRef>
          </c:xVal>
          <c:yVal>
            <c:numRef>
              <c:f>'11-12-2007'!$G$5:$G$23</c:f>
              <c:numCache>
                <c:formatCode>0.00</c:formatCode>
                <c:ptCount val="19"/>
                <c:pt idx="0">
                  <c:v>30.6</c:v>
                </c:pt>
                <c:pt idx="1">
                  <c:v>30.6</c:v>
                </c:pt>
                <c:pt idx="2">
                  <c:v>30.35</c:v>
                </c:pt>
                <c:pt idx="3">
                  <c:v>29.950000000000003</c:v>
                </c:pt>
                <c:pt idx="4">
                  <c:v>26.125</c:v>
                </c:pt>
                <c:pt idx="5">
                  <c:v>20.2</c:v>
                </c:pt>
                <c:pt idx="6">
                  <c:v>14.575000000000001</c:v>
                </c:pt>
                <c:pt idx="7">
                  <c:v>9.1999999999999993</c:v>
                </c:pt>
                <c:pt idx="8">
                  <c:v>4.8499999999999996</c:v>
                </c:pt>
              </c:numCache>
            </c:numRef>
          </c:yVal>
          <c:smooth val="0"/>
        </c:ser>
        <c:ser>
          <c:idx val="1"/>
          <c:order val="1"/>
          <c:tx>
            <c:v>LWS Measured</c:v>
          </c:tx>
          <c:spPr>
            <a:ln w="28575">
              <a:noFill/>
            </a:ln>
          </c:spPr>
          <c:marker>
            <c:symbol val="square"/>
            <c:size val="5"/>
            <c:spPr>
              <a:solidFill>
                <a:srgbClr val="00B050"/>
              </a:solidFill>
              <a:ln>
                <a:solidFill>
                  <a:srgbClr val="00B050"/>
                </a:solidFill>
                <a:prstDash val="solid"/>
              </a:ln>
            </c:spPr>
          </c:marker>
          <c:xVal>
            <c:numRef>
              <c:f>'11-12-2007'!$H$5:$H$23</c:f>
              <c:numCache>
                <c:formatCode>General</c:formatCode>
                <c:ptCount val="19"/>
                <c:pt idx="0">
                  <c:v>3000</c:v>
                </c:pt>
                <c:pt idx="1">
                  <c:v>5280</c:v>
                </c:pt>
                <c:pt idx="2">
                  <c:v>7290</c:v>
                </c:pt>
                <c:pt idx="3">
                  <c:v>10230</c:v>
                </c:pt>
                <c:pt idx="4">
                  <c:v>12400</c:v>
                </c:pt>
                <c:pt idx="5">
                  <c:v>14140</c:v>
                </c:pt>
                <c:pt idx="6">
                  <c:v>16580</c:v>
                </c:pt>
                <c:pt idx="7">
                  <c:v>18390</c:v>
                </c:pt>
              </c:numCache>
            </c:numRef>
          </c:xVal>
          <c:yVal>
            <c:numRef>
              <c:f>'11-12-2007'!$I$5:$I$23</c:f>
              <c:numCache>
                <c:formatCode>0.00</c:formatCode>
                <c:ptCount val="19"/>
                <c:pt idx="0">
                  <c:v>20.450000000000003</c:v>
                </c:pt>
                <c:pt idx="1">
                  <c:v>17.466666666666669</c:v>
                </c:pt>
                <c:pt idx="2">
                  <c:v>11.666666666666666</c:v>
                </c:pt>
                <c:pt idx="3">
                  <c:v>6.2750000000000004</c:v>
                </c:pt>
                <c:pt idx="4">
                  <c:v>3.1749999999999998</c:v>
                </c:pt>
                <c:pt idx="5">
                  <c:v>1</c:v>
                </c:pt>
                <c:pt idx="6">
                  <c:v>0.69999999999999984</c:v>
                </c:pt>
                <c:pt idx="7">
                  <c:v>0.5</c:v>
                </c:pt>
              </c:numCache>
            </c:numRef>
          </c:yVal>
          <c:smooth val="0"/>
        </c:ser>
        <c:ser>
          <c:idx val="5"/>
          <c:order val="2"/>
          <c:tx>
            <c:v>HWS</c:v>
          </c:tx>
          <c:spPr>
            <a:ln w="25400">
              <a:solidFill>
                <a:srgbClr val="FFFF00"/>
              </a:solidFill>
              <a:prstDash val="solid"/>
            </a:ln>
          </c:spPr>
          <c:marker>
            <c:symbol val="none"/>
          </c:marker>
          <c:xVal>
            <c:numRef>
              <c:f>'11-12-2007'!$I$33:$I$168</c:f>
              <c:numCache>
                <c:formatCode>0</c:formatCode>
                <c:ptCount val="136"/>
                <c:pt idx="0">
                  <c:v>-3500.6023659945349</c:v>
                </c:pt>
                <c:pt idx="1">
                  <c:v>2814.4754233637505</c:v>
                </c:pt>
                <c:pt idx="2">
                  <c:v>3509.1105970213684</c:v>
                </c:pt>
                <c:pt idx="3">
                  <c:v>4213.7568204621239</c:v>
                </c:pt>
                <c:pt idx="4">
                  <c:v>4928.0858924358581</c:v>
                </c:pt>
                <c:pt idx="5">
                  <c:v>5651.780371409217</c:v>
                </c:pt>
                <c:pt idx="6">
                  <c:v>6384.5332228201805</c:v>
                </c:pt>
                <c:pt idx="7">
                  <c:v>7126.0474778969565</c:v>
                </c:pt>
                <c:pt idx="8">
                  <c:v>7876.0359036621312</c:v>
                </c:pt>
                <c:pt idx="9">
                  <c:v>8634.2206837553549</c:v>
                </c:pt>
                <c:pt idx="10">
                  <c:v>9400.3331097199243</c:v>
                </c:pt>
                <c:pt idx="11">
                  <c:v>10174.113282410179</c:v>
                </c:pt>
                <c:pt idx="12">
                  <c:v>10955.309823187934</c:v>
                </c:pt>
                <c:pt idx="13">
                  <c:v>11743.679594587022</c:v>
                </c:pt>
                <c:pt idx="14">
                  <c:v>12538.98743013553</c:v>
                </c:pt>
                <c:pt idx="15">
                  <c:v>13341.005873035538</c:v>
                </c:pt>
                <c:pt idx="16">
                  <c:v>14149.514923409926</c:v>
                </c:pt>
                <c:pt idx="17">
                  <c:v>14964.301793835448</c:v>
                </c:pt>
                <c:pt idx="18">
                  <c:v>15785.16067289035</c:v>
                </c:pt>
                <c:pt idx="19">
                  <c:v>16611.89249645386</c:v>
                </c:pt>
                <c:pt idx="20">
                  <c:v>17444.304726503327</c:v>
                </c:pt>
                <c:pt idx="21">
                  <c:v>18282.2111371633</c:v>
                </c:pt>
                <c:pt idx="22">
                  <c:v>19125.431607768707</c:v>
                </c:pt>
                <c:pt idx="23">
                  <c:v>19973.791922712262</c:v>
                </c:pt>
                <c:pt idx="24">
                  <c:v>20827.12357785365</c:v>
                </c:pt>
                <c:pt idx="25">
                  <c:v>21685.263593275355</c:v>
                </c:pt>
                <c:pt idx="26">
                  <c:v>22548.054332177097</c:v>
                </c:pt>
                <c:pt idx="27">
                  <c:v>23415.343325707621</c:v>
                </c:pt>
                <c:pt idx="28">
                  <c:v>24286.983103539173</c:v>
                </c:pt>
                <c:pt idx="29">
                  <c:v>25162.831029996403</c:v>
                </c:pt>
                <c:pt idx="30">
                  <c:v>26042.749145557609</c:v>
                </c:pt>
                <c:pt idx="31">
                  <c:v>26926.604013552191</c:v>
                </c:pt>
                <c:pt idx="32">
                  <c:v>27814.266571883942</c:v>
                </c:pt>
                <c:pt idx="33">
                  <c:v>28705.611989615449</c:v>
                </c:pt>
                <c:pt idx="34">
                  <c:v>29600.519528254219</c:v>
                </c:pt>
                <c:pt idx="35">
                  <c:v>30498.872407586354</c:v>
                </c:pt>
                <c:pt idx="36">
                  <c:v>31400.55767590876</c:v>
                </c:pt>
                <c:pt idx="37">
                  <c:v>32305.466084515621</c:v>
                </c:pt>
                <c:pt idx="38">
                  <c:v>33213.49196629972</c:v>
                </c:pt>
                <c:pt idx="39">
                  <c:v>34124.533118333668</c:v>
                </c:pt>
                <c:pt idx="40">
                  <c:v>35038.490688300568</c:v>
                </c:pt>
                <c:pt idx="41">
                  <c:v>35955.26906464796</c:v>
                </c:pt>
                <c:pt idx="42">
                  <c:v>36874.775770342902</c:v>
                </c:pt>
                <c:pt idx="43">
                  <c:v>37796.921360110209</c:v>
                </c:pt>
                <c:pt idx="44">
                  <c:v>38721.619321039623</c:v>
                </c:pt>
                <c:pt idx="45">
                  <c:v>39648.785976451429</c:v>
                </c:pt>
                <c:pt idx="46">
                  <c:v>40578.340392913764</c:v>
                </c:pt>
                <c:pt idx="47">
                  <c:v>41510.204290308291</c:v>
                </c:pt>
                <c:pt idx="48">
                  <c:v>42444.301954844188</c:v>
                </c:pt>
                <c:pt idx="49">
                  <c:v>43380.560154923936</c:v>
                </c:pt>
                <c:pt idx="50">
                  <c:v>44318.908059767367</c:v>
                </c:pt>
                <c:pt idx="51">
                  <c:v>45259.277160703481</c:v>
                </c:pt>
                <c:pt idx="52">
                  <c:v>46201.601195042676</c:v>
                </c:pt>
                <c:pt idx="53">
                  <c:v>47145.816072444701</c:v>
                </c:pt>
                <c:pt idx="54">
                  <c:v>48091.859803700572</c:v>
                </c:pt>
                <c:pt idx="55">
                  <c:v>49039.672431849322</c:v>
                </c:pt>
                <c:pt idx="56">
                  <c:v>49989.195965552943</c:v>
                </c:pt>
                <c:pt idx="57">
                  <c:v>50940.374314655659</c:v>
                </c:pt>
                <c:pt idx="58">
                  <c:v>51893.153227855684</c:v>
                </c:pt>
                <c:pt idx="59">
                  <c:v>52847.480232420494</c:v>
                </c:pt>
                <c:pt idx="60">
                  <c:v>53803.304575878341</c:v>
                </c:pt>
                <c:pt idx="61">
                  <c:v>54760.5771696214</c:v>
                </c:pt>
                <c:pt idx="62">
                  <c:v>55719.250534357852</c:v>
                </c:pt>
                <c:pt idx="63">
                  <c:v>56679.278747352204</c:v>
                </c:pt>
                <c:pt idx="64">
                  <c:v>57640.61739139531</c:v>
                </c:pt>
                <c:pt idx="65">
                  <c:v>58603.223505447328</c:v>
                </c:pt>
                <c:pt idx="66">
                  <c:v>59567.05553689885</c:v>
                </c:pt>
                <c:pt idx="67">
                  <c:v>60532.073295397044</c:v>
                </c:pt>
                <c:pt idx="68">
                  <c:v>61498.23790818554</c:v>
                </c:pt>
                <c:pt idx="69">
                  <c:v>62465.511776908534</c:v>
                </c:pt>
                <c:pt idx="70">
                  <c:v>63433.858535830921</c:v>
                </c:pt>
                <c:pt idx="71">
                  <c:v>64403.243011428218</c:v>
                </c:pt>
                <c:pt idx="72">
                  <c:v>65373.63118330123</c:v>
                </c:pt>
                <c:pt idx="73">
                  <c:v>66344.990146372089</c:v>
                </c:pt>
                <c:pt idx="74">
                  <c:v>67317.288074319731</c:v>
                </c:pt>
                <c:pt idx="75">
                  <c:v>68290.494184213981</c:v>
                </c:pt>
                <c:pt idx="76">
                  <c:v>69264.578702309154</c:v>
                </c:pt>
                <c:pt idx="77">
                  <c:v>70239.512830959051</c:v>
                </c:pt>
                <c:pt idx="78">
                  <c:v>71215.268716616629</c:v>
                </c:pt>
                <c:pt idx="79">
                  <c:v>72191.819418882704</c:v>
                </c:pt>
                <c:pt idx="80">
                  <c:v>73169.138880569444</c:v>
                </c:pt>
                <c:pt idx="81">
                  <c:v>74147.201898745276</c:v>
                </c:pt>
                <c:pt idx="82">
                  <c:v>75125.984096728964</c:v>
                </c:pt>
                <c:pt idx="83">
                  <c:v>76105.461897001936</c:v>
                </c:pt>
                <c:pt idx="84">
                  <c:v>77085.612495008652</c:v>
                </c:pt>
                <c:pt idx="85">
                  <c:v>78066.413833815808</c:v>
                </c:pt>
                <c:pt idx="86">
                  <c:v>79047.844579602388</c:v>
                </c:pt>
                <c:pt idx="87">
                  <c:v>80029.884097953225</c:v>
                </c:pt>
                <c:pt idx="88">
                  <c:v>81012.512430929739</c:v>
                </c:pt>
                <c:pt idx="89">
                  <c:v>81995.710274892423</c:v>
                </c:pt>
                <c:pt idx="90">
                  <c:v>82979.458959050302</c:v>
                </c:pt>
                <c:pt idx="91">
                  <c:v>83963.740424713804</c:v>
                </c:pt>
                <c:pt idx="92">
                  <c:v>84948.537205227549</c:v>
                </c:pt>
                <c:pt idx="93">
                  <c:v>85933.832406561283</c:v>
                </c:pt>
                <c:pt idx="94">
                  <c:v>86919.609688536933</c:v>
                </c:pt>
                <c:pt idx="95">
                  <c:v>87905.853246671162</c:v>
                </c:pt>
                <c:pt idx="96">
                  <c:v>88892.547794613245</c:v>
                </c:pt>
                <c:pt idx="97">
                  <c:v>89879.678547158634</c:v>
                </c:pt>
                <c:pt idx="98">
                  <c:v>90867.23120381945</c:v>
                </c:pt>
                <c:pt idx="99">
                  <c:v>91855.191932933551</c:v>
                </c:pt>
                <c:pt idx="100">
                  <c:v>92843.547356294657</c:v>
                </c:pt>
                <c:pt idx="101">
                  <c:v>93832.284534286227</c:v>
                </c:pt>
                <c:pt idx="102">
                  <c:v>94821.390951502806</c:v>
                </c:pt>
                <c:pt idx="103">
                  <c:v>95810.854502842747</c:v>
                </c:pt>
                <c:pt idx="104">
                  <c:v>96800.663480056828</c:v>
                </c:pt>
                <c:pt idx="105">
                  <c:v>97790.80655873791</c:v>
                </c:pt>
                <c:pt idx="106">
                  <c:v>98781.272785737077</c:v>
                </c:pt>
                <c:pt idx="107">
                  <c:v>99772.051566992333</c:v>
                </c:pt>
                <c:pt idx="108">
                  <c:v>100763.13265575634</c:v>
                </c:pt>
                <c:pt idx="109">
                  <c:v>101754.50614121012</c:v>
                </c:pt>
                <c:pt idx="110">
                  <c:v>102746.16243744998</c:v>
                </c:pt>
                <c:pt idx="111">
                  <c:v>103738.09227283551</c:v>
                </c:pt>
                <c:pt idx="112">
                  <c:v>104730.28667968686</c:v>
                </c:pt>
                <c:pt idx="113">
                  <c:v>105722.73698431968</c:v>
                </c:pt>
                <c:pt idx="114">
                  <c:v>106715.43479740679</c:v>
                </c:pt>
                <c:pt idx="115">
                  <c:v>107708.37200465593</c:v>
                </c:pt>
                <c:pt idx="116">
                  <c:v>108701.54075779293</c:v>
                </c:pt>
                <c:pt idx="117">
                  <c:v>109694.93346584066</c:v>
                </c:pt>
                <c:pt idx="118">
                  <c:v>110688.54278668384</c:v>
                </c:pt>
                <c:pt idx="119">
                  <c:v>111682.36161891036</c:v>
                </c:pt>
                <c:pt idx="120">
                  <c:v>112676.38309392007</c:v>
                </c:pt>
                <c:pt idx="121">
                  <c:v>113670.60056829231</c:v>
                </c:pt>
                <c:pt idx="122">
                  <c:v>114665.00761640372</c:v>
                </c:pt>
                <c:pt idx="123">
                  <c:v>115659.59802328784</c:v>
                </c:pt>
                <c:pt idx="124">
                  <c:v>116654.36577772909</c:v>
                </c:pt>
                <c:pt idx="125">
                  <c:v>117649.305065583</c:v>
                </c:pt>
                <c:pt idx="126">
                  <c:v>118644.4102633154</c:v>
                </c:pt>
                <c:pt idx="127">
                  <c:v>119639.6759317535</c:v>
                </c:pt>
                <c:pt idx="128">
                  <c:v>120635.09681004181</c:v>
                </c:pt>
                <c:pt idx="129">
                  <c:v>121630.6678097962</c:v>
                </c:pt>
                <c:pt idx="130">
                  <c:v>122626.38400944961</c:v>
                </c:pt>
                <c:pt idx="131">
                  <c:v>123622.24064878313</c:v>
                </c:pt>
                <c:pt idx="132">
                  <c:v>124618.23312363641</c:v>
                </c:pt>
                <c:pt idx="133">
                  <c:v>125614.35698079142</c:v>
                </c:pt>
                <c:pt idx="134">
                  <c:v>126610.60791302397</c:v>
                </c:pt>
                <c:pt idx="135">
                  <c:v>127606.9817543175</c:v>
                </c:pt>
              </c:numCache>
            </c:numRef>
          </c:xVal>
          <c:yVal>
            <c:numRef>
              <c:f>'11-12-2007'!$G$33:$G$168</c:f>
              <c:numCache>
                <c:formatCode>#,#00</c:formatCode>
                <c:ptCount val="136"/>
                <c:pt idx="0">
                  <c:v>38.074330344942709</c:v>
                </c:pt>
                <c:pt idx="1">
                  <c:v>33.99202911961406</c:v>
                </c:pt>
                <c:pt idx="2">
                  <c:v>33.408134687050392</c:v>
                </c:pt>
                <c:pt idx="3">
                  <c:v>32.783079440583414</c:v>
                </c:pt>
                <c:pt idx="4">
                  <c:v>32.11407185694123</c:v>
                </c:pt>
                <c:pt idx="5">
                  <c:v>31.398152199137101</c:v>
                </c:pt>
                <c:pt idx="6">
                  <c:v>30.632187046258466</c:v>
                </c:pt>
                <c:pt idx="7">
                  <c:v>29.812864951575907</c:v>
                </c:pt>
                <c:pt idx="8">
                  <c:v>28.93669372392641</c:v>
                </c:pt>
                <c:pt idx="9">
                  <c:v>28</c:v>
                </c:pt>
                <c:pt idx="10">
                  <c:v>26.998932015929192</c:v>
                </c:pt>
                <c:pt idx="11">
                  <c:v>25.9294668278839</c:v>
                </c:pt>
                <c:pt idx="12">
                  <c:v>24.787423724411674</c:v>
                </c:pt>
                <c:pt idx="13">
                  <c:v>23.568486301059817</c:v>
                </c:pt>
                <c:pt idx="14">
                  <c:v>22.268236769178007</c:v>
                </c:pt>
                <c:pt idx="15">
                  <c:v>20.882207785942391</c:v>
                </c:pt>
                <c:pt idx="16">
                  <c:v>19.405959854044884</c:v>
                </c:pt>
                <c:pt idx="17">
                  <c:v>17.835196962240918</c:v>
                </c:pt>
                <c:pt idx="18">
                  <c:v>16.165941242823642</c:v>
                </c:pt>
                <c:pt idx="19">
                  <c:v>14.394802444419632</c:v>
                </c:pt>
                <c:pt idx="20">
                  <c:v>12.519407826647756</c:v>
                </c:pt>
                <c:pt idx="21">
                  <c:v>10.539122527345569</c:v>
                </c:pt>
                <c:pt idx="22">
                  <c:v>8.4563462618061429</c:v>
                </c:pt>
                <c:pt idx="23">
                  <c:v>6.2791114200669389</c:v>
                </c:pt>
                <c:pt idx="24">
                  <c:v>4.0272647342351826</c:v>
                </c:pt>
                <c:pt idx="25">
                  <c:v>1.7527992962538741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</c:numCache>
            </c:numRef>
          </c:yVal>
          <c:smooth val="0"/>
        </c:ser>
        <c:ser>
          <c:idx val="3"/>
          <c:order val="3"/>
          <c:tx>
            <c:v>TA</c:v>
          </c:tx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'11-12-2007'!$B$37:$B$168</c:f>
              <c:numCache>
                <c:formatCode>General</c:formatCode>
                <c:ptCount val="132"/>
                <c:pt idx="0">
                  <c:v>-3500</c:v>
                </c:pt>
                <c:pt idx="1">
                  <c:v>-2500</c:v>
                </c:pt>
                <c:pt idx="2">
                  <c:v>-1500</c:v>
                </c:pt>
                <c:pt idx="3">
                  <c:v>-500</c:v>
                </c:pt>
                <c:pt idx="4">
                  <c:v>500</c:v>
                </c:pt>
                <c:pt idx="5">
                  <c:v>1500</c:v>
                </c:pt>
                <c:pt idx="6">
                  <c:v>2500</c:v>
                </c:pt>
                <c:pt idx="7">
                  <c:v>3500</c:v>
                </c:pt>
                <c:pt idx="8">
                  <c:v>4500</c:v>
                </c:pt>
                <c:pt idx="9">
                  <c:v>5500</c:v>
                </c:pt>
                <c:pt idx="10">
                  <c:v>6500</c:v>
                </c:pt>
                <c:pt idx="11">
                  <c:v>7500</c:v>
                </c:pt>
                <c:pt idx="12">
                  <c:v>8500</c:v>
                </c:pt>
                <c:pt idx="13">
                  <c:v>9500</c:v>
                </c:pt>
                <c:pt idx="14">
                  <c:v>10500</c:v>
                </c:pt>
                <c:pt idx="15">
                  <c:v>11500</c:v>
                </c:pt>
                <c:pt idx="16">
                  <c:v>12500</c:v>
                </c:pt>
                <c:pt idx="17">
                  <c:v>13500</c:v>
                </c:pt>
                <c:pt idx="18">
                  <c:v>14500</c:v>
                </c:pt>
                <c:pt idx="19">
                  <c:v>15500</c:v>
                </c:pt>
                <c:pt idx="20">
                  <c:v>16500</c:v>
                </c:pt>
                <c:pt idx="21">
                  <c:v>17500</c:v>
                </c:pt>
                <c:pt idx="22">
                  <c:v>18500</c:v>
                </c:pt>
                <c:pt idx="23">
                  <c:v>19500</c:v>
                </c:pt>
                <c:pt idx="24">
                  <c:v>20500</c:v>
                </c:pt>
                <c:pt idx="25">
                  <c:v>21500</c:v>
                </c:pt>
                <c:pt idx="26">
                  <c:v>22500</c:v>
                </c:pt>
                <c:pt idx="27">
                  <c:v>23500</c:v>
                </c:pt>
                <c:pt idx="28">
                  <c:v>24500</c:v>
                </c:pt>
                <c:pt idx="29">
                  <c:v>25500</c:v>
                </c:pt>
                <c:pt idx="30">
                  <c:v>26500</c:v>
                </c:pt>
                <c:pt idx="31">
                  <c:v>27500</c:v>
                </c:pt>
                <c:pt idx="32">
                  <c:v>28500</c:v>
                </c:pt>
                <c:pt idx="33">
                  <c:v>29500</c:v>
                </c:pt>
                <c:pt idx="34">
                  <c:v>30500</c:v>
                </c:pt>
                <c:pt idx="35">
                  <c:v>31500</c:v>
                </c:pt>
                <c:pt idx="36">
                  <c:v>32500</c:v>
                </c:pt>
                <c:pt idx="37">
                  <c:v>33500</c:v>
                </c:pt>
                <c:pt idx="38">
                  <c:v>34500</c:v>
                </c:pt>
                <c:pt idx="39">
                  <c:v>35500</c:v>
                </c:pt>
                <c:pt idx="40">
                  <c:v>36500</c:v>
                </c:pt>
                <c:pt idx="41">
                  <c:v>37500</c:v>
                </c:pt>
                <c:pt idx="42">
                  <c:v>38500</c:v>
                </c:pt>
                <c:pt idx="43">
                  <c:v>39500</c:v>
                </c:pt>
                <c:pt idx="44">
                  <c:v>40500</c:v>
                </c:pt>
                <c:pt idx="45">
                  <c:v>41500</c:v>
                </c:pt>
                <c:pt idx="46">
                  <c:v>42500</c:v>
                </c:pt>
                <c:pt idx="47">
                  <c:v>43500</c:v>
                </c:pt>
                <c:pt idx="48">
                  <c:v>44500</c:v>
                </c:pt>
                <c:pt idx="49">
                  <c:v>45500</c:v>
                </c:pt>
                <c:pt idx="50">
                  <c:v>46500</c:v>
                </c:pt>
                <c:pt idx="51">
                  <c:v>47500</c:v>
                </c:pt>
                <c:pt idx="52">
                  <c:v>48500</c:v>
                </c:pt>
                <c:pt idx="53">
                  <c:v>49500</c:v>
                </c:pt>
                <c:pt idx="54">
                  <c:v>50500</c:v>
                </c:pt>
                <c:pt idx="55">
                  <c:v>51500</c:v>
                </c:pt>
                <c:pt idx="56">
                  <c:v>52500</c:v>
                </c:pt>
                <c:pt idx="57">
                  <c:v>53500</c:v>
                </c:pt>
                <c:pt idx="58">
                  <c:v>54500</c:v>
                </c:pt>
                <c:pt idx="59">
                  <c:v>55500</c:v>
                </c:pt>
                <c:pt idx="60">
                  <c:v>56500</c:v>
                </c:pt>
                <c:pt idx="61">
                  <c:v>57500</c:v>
                </c:pt>
                <c:pt idx="62">
                  <c:v>58500</c:v>
                </c:pt>
                <c:pt idx="63">
                  <c:v>59500</c:v>
                </c:pt>
                <c:pt idx="64">
                  <c:v>60500</c:v>
                </c:pt>
                <c:pt idx="65">
                  <c:v>61500</c:v>
                </c:pt>
                <c:pt idx="66">
                  <c:v>62500</c:v>
                </c:pt>
                <c:pt idx="67">
                  <c:v>63500</c:v>
                </c:pt>
                <c:pt idx="68">
                  <c:v>64500</c:v>
                </c:pt>
                <c:pt idx="69">
                  <c:v>65500</c:v>
                </c:pt>
                <c:pt idx="70">
                  <c:v>66500</c:v>
                </c:pt>
                <c:pt idx="71">
                  <c:v>67500</c:v>
                </c:pt>
                <c:pt idx="72">
                  <c:v>68500</c:v>
                </c:pt>
                <c:pt idx="73">
                  <c:v>69500</c:v>
                </c:pt>
                <c:pt idx="74">
                  <c:v>70500</c:v>
                </c:pt>
                <c:pt idx="75">
                  <c:v>71500</c:v>
                </c:pt>
                <c:pt idx="76">
                  <c:v>72500</c:v>
                </c:pt>
                <c:pt idx="77">
                  <c:v>73500</c:v>
                </c:pt>
                <c:pt idx="78">
                  <c:v>74500</c:v>
                </c:pt>
                <c:pt idx="79">
                  <c:v>75500</c:v>
                </c:pt>
                <c:pt idx="80">
                  <c:v>76500</c:v>
                </c:pt>
                <c:pt idx="81">
                  <c:v>77500</c:v>
                </c:pt>
                <c:pt idx="82">
                  <c:v>78500</c:v>
                </c:pt>
                <c:pt idx="83">
                  <c:v>79500</c:v>
                </c:pt>
                <c:pt idx="84">
                  <c:v>80500</c:v>
                </c:pt>
                <c:pt idx="85">
                  <c:v>81500</c:v>
                </c:pt>
                <c:pt idx="86">
                  <c:v>82500</c:v>
                </c:pt>
                <c:pt idx="87">
                  <c:v>83500</c:v>
                </c:pt>
                <c:pt idx="88">
                  <c:v>84500</c:v>
                </c:pt>
                <c:pt idx="89">
                  <c:v>85500</c:v>
                </c:pt>
                <c:pt idx="90">
                  <c:v>86500</c:v>
                </c:pt>
                <c:pt idx="91">
                  <c:v>87500</c:v>
                </c:pt>
                <c:pt idx="92">
                  <c:v>88500</c:v>
                </c:pt>
                <c:pt idx="93">
                  <c:v>89500</c:v>
                </c:pt>
                <c:pt idx="94">
                  <c:v>90500</c:v>
                </c:pt>
                <c:pt idx="95">
                  <c:v>91500</c:v>
                </c:pt>
                <c:pt idx="96">
                  <c:v>92500</c:v>
                </c:pt>
                <c:pt idx="97">
                  <c:v>93500</c:v>
                </c:pt>
                <c:pt idx="98">
                  <c:v>94500</c:v>
                </c:pt>
                <c:pt idx="99">
                  <c:v>95500</c:v>
                </c:pt>
                <c:pt idx="100">
                  <c:v>96500</c:v>
                </c:pt>
                <c:pt idx="101">
                  <c:v>97500</c:v>
                </c:pt>
                <c:pt idx="102">
                  <c:v>98500</c:v>
                </c:pt>
                <c:pt idx="103">
                  <c:v>99500</c:v>
                </c:pt>
                <c:pt idx="104">
                  <c:v>100500</c:v>
                </c:pt>
                <c:pt idx="105">
                  <c:v>101500</c:v>
                </c:pt>
                <c:pt idx="106">
                  <c:v>102500</c:v>
                </c:pt>
                <c:pt idx="107">
                  <c:v>103500</c:v>
                </c:pt>
                <c:pt idx="108">
                  <c:v>104500</c:v>
                </c:pt>
                <c:pt idx="109">
                  <c:v>105500</c:v>
                </c:pt>
                <c:pt idx="110">
                  <c:v>106500</c:v>
                </c:pt>
                <c:pt idx="111">
                  <c:v>107500</c:v>
                </c:pt>
                <c:pt idx="112">
                  <c:v>108500</c:v>
                </c:pt>
                <c:pt idx="113">
                  <c:v>109500</c:v>
                </c:pt>
                <c:pt idx="114">
                  <c:v>110500</c:v>
                </c:pt>
                <c:pt idx="115">
                  <c:v>111500</c:v>
                </c:pt>
                <c:pt idx="116">
                  <c:v>112500</c:v>
                </c:pt>
                <c:pt idx="117">
                  <c:v>113500</c:v>
                </c:pt>
                <c:pt idx="118">
                  <c:v>114500</c:v>
                </c:pt>
                <c:pt idx="119">
                  <c:v>115500</c:v>
                </c:pt>
                <c:pt idx="120">
                  <c:v>116500</c:v>
                </c:pt>
                <c:pt idx="121">
                  <c:v>117500</c:v>
                </c:pt>
                <c:pt idx="122">
                  <c:v>118500</c:v>
                </c:pt>
                <c:pt idx="123">
                  <c:v>119500</c:v>
                </c:pt>
                <c:pt idx="124">
                  <c:v>120500</c:v>
                </c:pt>
                <c:pt idx="125">
                  <c:v>121500</c:v>
                </c:pt>
                <c:pt idx="126">
                  <c:v>122500</c:v>
                </c:pt>
                <c:pt idx="127">
                  <c:v>123500</c:v>
                </c:pt>
                <c:pt idx="128">
                  <c:v>124500</c:v>
                </c:pt>
                <c:pt idx="129">
                  <c:v>125500</c:v>
                </c:pt>
                <c:pt idx="130">
                  <c:v>126500</c:v>
                </c:pt>
                <c:pt idx="131">
                  <c:v>127500</c:v>
                </c:pt>
              </c:numCache>
            </c:numRef>
          </c:xVal>
          <c:yVal>
            <c:numRef>
              <c:f>'11-12-2007'!$G$37:$G$168</c:f>
              <c:numCache>
                <c:formatCode>#,#00</c:formatCode>
                <c:ptCount val="132"/>
                <c:pt idx="0">
                  <c:v>32.11407185694123</c:v>
                </c:pt>
                <c:pt idx="1">
                  <c:v>31.398152199137101</c:v>
                </c:pt>
                <c:pt idx="2">
                  <c:v>30.632187046258466</c:v>
                </c:pt>
                <c:pt idx="3">
                  <c:v>29.812864951575907</c:v>
                </c:pt>
                <c:pt idx="4">
                  <c:v>28.93669372392641</c:v>
                </c:pt>
                <c:pt idx="5">
                  <c:v>28</c:v>
                </c:pt>
                <c:pt idx="6">
                  <c:v>26.998932015929192</c:v>
                </c:pt>
                <c:pt idx="7">
                  <c:v>25.9294668278839</c:v>
                </c:pt>
                <c:pt idx="8">
                  <c:v>24.787423724411674</c:v>
                </c:pt>
                <c:pt idx="9">
                  <c:v>23.568486301059817</c:v>
                </c:pt>
                <c:pt idx="10">
                  <c:v>22.268236769178007</c:v>
                </c:pt>
                <c:pt idx="11">
                  <c:v>20.882207785942391</c:v>
                </c:pt>
                <c:pt idx="12">
                  <c:v>19.405959854044884</c:v>
                </c:pt>
                <c:pt idx="13">
                  <c:v>17.835196962240918</c:v>
                </c:pt>
                <c:pt idx="14">
                  <c:v>16.165941242823642</c:v>
                </c:pt>
                <c:pt idx="15">
                  <c:v>14.394802444419632</c:v>
                </c:pt>
                <c:pt idx="16">
                  <c:v>12.519407826647756</c:v>
                </c:pt>
                <c:pt idx="17">
                  <c:v>10.539122527345569</c:v>
                </c:pt>
                <c:pt idx="18">
                  <c:v>8.4563462618061429</c:v>
                </c:pt>
                <c:pt idx="19">
                  <c:v>6.2791114200669389</c:v>
                </c:pt>
                <c:pt idx="20">
                  <c:v>4.0272647342351826</c:v>
                </c:pt>
                <c:pt idx="21">
                  <c:v>1.7527992962538741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</c:numCache>
            </c:numRef>
          </c:yVal>
          <c:smooth val="0"/>
        </c:ser>
        <c:ser>
          <c:idx val="4"/>
          <c:order val="4"/>
          <c:tx>
            <c:v>LWS</c:v>
          </c:tx>
          <c:spPr>
            <a:ln w="25400">
              <a:solidFill>
                <a:schemeClr val="tx2"/>
              </a:solidFill>
              <a:prstDash val="solid"/>
            </a:ln>
          </c:spPr>
          <c:marker>
            <c:symbol val="none"/>
          </c:marker>
          <c:xVal>
            <c:numRef>
              <c:f>'11-12-2007'!$H$42:$H$168</c:f>
              <c:numCache>
                <c:formatCode>0</c:formatCode>
                <c:ptCount val="127"/>
                <c:pt idx="0">
                  <c:v>-5634.2206837553549</c:v>
                </c:pt>
                <c:pt idx="1">
                  <c:v>-4400.3331097199243</c:v>
                </c:pt>
                <c:pt idx="2">
                  <c:v>-3174.1132824101787</c:v>
                </c:pt>
                <c:pt idx="3">
                  <c:v>-1955.3098231879339</c:v>
                </c:pt>
                <c:pt idx="4">
                  <c:v>-743.6795945870208</c:v>
                </c:pt>
                <c:pt idx="5">
                  <c:v>461.01256986447061</c:v>
                </c:pt>
                <c:pt idx="6">
                  <c:v>1658.9941269644632</c:v>
                </c:pt>
                <c:pt idx="7">
                  <c:v>2850.4850765900737</c:v>
                </c:pt>
                <c:pt idx="8">
                  <c:v>4035.6982061645522</c:v>
                </c:pt>
                <c:pt idx="9">
                  <c:v>5214.8393271096493</c:v>
                </c:pt>
                <c:pt idx="10">
                  <c:v>6388.1075035461408</c:v>
                </c:pt>
                <c:pt idx="11">
                  <c:v>7555.6952734966717</c:v>
                </c:pt>
                <c:pt idx="12">
                  <c:v>8717.7888628367</c:v>
                </c:pt>
                <c:pt idx="13">
                  <c:v>9874.5683922312928</c:v>
                </c:pt>
                <c:pt idx="14">
                  <c:v>11026.208077287738</c:v>
                </c:pt>
                <c:pt idx="15">
                  <c:v>12172.87642214635</c:v>
                </c:pt>
                <c:pt idx="16">
                  <c:v>13314.736406724647</c:v>
                </c:pt>
                <c:pt idx="17">
                  <c:v>14451.945667822905</c:v>
                </c:pt>
                <c:pt idx="18">
                  <c:v>15584.656674292379</c:v>
                </c:pt>
                <c:pt idx="19">
                  <c:v>16713.016896460827</c:v>
                </c:pt>
                <c:pt idx="20">
                  <c:v>17837.168970003597</c:v>
                </c:pt>
                <c:pt idx="21">
                  <c:v>18957.250854442391</c:v>
                </c:pt>
                <c:pt idx="22">
                  <c:v>20073.395986447809</c:v>
                </c:pt>
                <c:pt idx="23">
                  <c:v>21185.733428116058</c:v>
                </c:pt>
                <c:pt idx="24">
                  <c:v>22294.388010384551</c:v>
                </c:pt>
                <c:pt idx="25">
                  <c:v>23399.480471745781</c:v>
                </c:pt>
                <c:pt idx="26">
                  <c:v>24501.127592413646</c:v>
                </c:pt>
                <c:pt idx="27">
                  <c:v>25599.44232409124</c:v>
                </c:pt>
                <c:pt idx="28">
                  <c:v>26694.533915484379</c:v>
                </c:pt>
                <c:pt idx="29">
                  <c:v>27786.50803370028</c:v>
                </c:pt>
                <c:pt idx="30">
                  <c:v>28875.466881666336</c:v>
                </c:pt>
                <c:pt idx="31">
                  <c:v>29961.509311699432</c:v>
                </c:pt>
                <c:pt idx="32">
                  <c:v>31044.730935352043</c:v>
                </c:pt>
                <c:pt idx="33">
                  <c:v>32125.224229657098</c:v>
                </c:pt>
                <c:pt idx="34">
                  <c:v>33203.078639889791</c:v>
                </c:pt>
                <c:pt idx="35">
                  <c:v>34278.380678960377</c:v>
                </c:pt>
                <c:pt idx="36">
                  <c:v>35351.214023548571</c:v>
                </c:pt>
                <c:pt idx="37">
                  <c:v>36421.659607086236</c:v>
                </c:pt>
                <c:pt idx="38">
                  <c:v>37489.795709691709</c:v>
                </c:pt>
                <c:pt idx="39">
                  <c:v>38555.698045155812</c:v>
                </c:pt>
                <c:pt idx="40">
                  <c:v>39619.439845076064</c:v>
                </c:pt>
                <c:pt idx="41">
                  <c:v>40681.091940232633</c:v>
                </c:pt>
                <c:pt idx="42">
                  <c:v>41740.722839296519</c:v>
                </c:pt>
                <c:pt idx="43">
                  <c:v>42798.398804957324</c:v>
                </c:pt>
                <c:pt idx="44">
                  <c:v>43854.183927555299</c:v>
                </c:pt>
                <c:pt idx="45">
                  <c:v>44908.140196299428</c:v>
                </c:pt>
                <c:pt idx="46">
                  <c:v>45960.327568150678</c:v>
                </c:pt>
                <c:pt idx="47">
                  <c:v>47010.804034447057</c:v>
                </c:pt>
                <c:pt idx="48">
                  <c:v>48059.625685344341</c:v>
                </c:pt>
                <c:pt idx="49">
                  <c:v>49106.846772144316</c:v>
                </c:pt>
                <c:pt idx="50">
                  <c:v>50152.519767579506</c:v>
                </c:pt>
                <c:pt idx="51">
                  <c:v>51196.695424121659</c:v>
                </c:pt>
                <c:pt idx="52">
                  <c:v>52239.4228303786</c:v>
                </c:pt>
                <c:pt idx="53">
                  <c:v>53280.749465642148</c:v>
                </c:pt>
                <c:pt idx="54">
                  <c:v>54320.721252647796</c:v>
                </c:pt>
                <c:pt idx="55">
                  <c:v>55359.38260860469</c:v>
                </c:pt>
                <c:pt idx="56">
                  <c:v>56396.776494552672</c:v>
                </c:pt>
                <c:pt idx="57">
                  <c:v>57432.94446310115</c:v>
                </c:pt>
                <c:pt idx="58">
                  <c:v>58467.926704602956</c:v>
                </c:pt>
                <c:pt idx="59">
                  <c:v>59501.76209181446</c:v>
                </c:pt>
                <c:pt idx="60">
                  <c:v>60534.488223091466</c:v>
                </c:pt>
                <c:pt idx="61">
                  <c:v>61566.141464169079</c:v>
                </c:pt>
                <c:pt idx="62">
                  <c:v>62596.756988571782</c:v>
                </c:pt>
                <c:pt idx="63">
                  <c:v>63626.36881669877</c:v>
                </c:pt>
                <c:pt idx="64">
                  <c:v>64655.009853627904</c:v>
                </c:pt>
                <c:pt idx="65">
                  <c:v>65682.711925680269</c:v>
                </c:pt>
                <c:pt idx="66">
                  <c:v>66709.505815786019</c:v>
                </c:pt>
                <c:pt idx="67">
                  <c:v>67735.421297690846</c:v>
                </c:pt>
                <c:pt idx="68">
                  <c:v>68760.487169040949</c:v>
                </c:pt>
                <c:pt idx="69">
                  <c:v>69784.731283383371</c:v>
                </c:pt>
                <c:pt idx="70">
                  <c:v>70808.180581117296</c:v>
                </c:pt>
                <c:pt idx="71">
                  <c:v>71830.861119430556</c:v>
                </c:pt>
                <c:pt idx="72">
                  <c:v>72852.798101254724</c:v>
                </c:pt>
                <c:pt idx="73">
                  <c:v>73874.015903271036</c:v>
                </c:pt>
                <c:pt idx="74">
                  <c:v>74894.538102998064</c:v>
                </c:pt>
                <c:pt idx="75">
                  <c:v>75914.387504991348</c:v>
                </c:pt>
                <c:pt idx="76">
                  <c:v>76933.586166184192</c:v>
                </c:pt>
                <c:pt idx="77">
                  <c:v>77952.155420397612</c:v>
                </c:pt>
                <c:pt idx="78">
                  <c:v>78970.115902046775</c:v>
                </c:pt>
                <c:pt idx="79">
                  <c:v>79987.487569070261</c:v>
                </c:pt>
                <c:pt idx="80">
                  <c:v>81004.289725107577</c:v>
                </c:pt>
                <c:pt idx="81">
                  <c:v>82020.541040949698</c:v>
                </c:pt>
                <c:pt idx="82">
                  <c:v>83036.259575286196</c:v>
                </c:pt>
                <c:pt idx="83">
                  <c:v>84051.462794772451</c:v>
                </c:pt>
                <c:pt idx="84">
                  <c:v>85066.167593438717</c:v>
                </c:pt>
                <c:pt idx="85">
                  <c:v>86080.390311463067</c:v>
                </c:pt>
                <c:pt idx="86">
                  <c:v>87094.146753328838</c:v>
                </c:pt>
                <c:pt idx="87">
                  <c:v>88107.452205386755</c:v>
                </c:pt>
                <c:pt idx="88">
                  <c:v>89120.321452841366</c:v>
                </c:pt>
                <c:pt idx="89">
                  <c:v>90132.76879618055</c:v>
                </c:pt>
                <c:pt idx="90">
                  <c:v>91144.808067066449</c:v>
                </c:pt>
                <c:pt idx="91">
                  <c:v>92156.452643705343</c:v>
                </c:pt>
                <c:pt idx="92">
                  <c:v>93167.715465713773</c:v>
                </c:pt>
                <c:pt idx="93">
                  <c:v>94178.609048497194</c:v>
                </c:pt>
                <c:pt idx="94">
                  <c:v>95189.145497157253</c:v>
                </c:pt>
                <c:pt idx="95">
                  <c:v>96199.336519943172</c:v>
                </c:pt>
                <c:pt idx="96">
                  <c:v>97209.19344126209</c:v>
                </c:pt>
                <c:pt idx="97">
                  <c:v>98218.727214262923</c:v>
                </c:pt>
                <c:pt idx="98">
                  <c:v>99227.948433007667</c:v>
                </c:pt>
                <c:pt idx="99">
                  <c:v>100236.86734424366</c:v>
                </c:pt>
                <c:pt idx="100">
                  <c:v>101245.49385878988</c:v>
                </c:pt>
                <c:pt idx="101">
                  <c:v>102253.83756255002</c:v>
                </c:pt>
                <c:pt idx="102">
                  <c:v>103261.90772716449</c:v>
                </c:pt>
                <c:pt idx="103">
                  <c:v>104269.71332031314</c:v>
                </c:pt>
                <c:pt idx="104">
                  <c:v>105277.26301568032</c:v>
                </c:pt>
                <c:pt idx="105">
                  <c:v>106284.56520259321</c:v>
                </c:pt>
                <c:pt idx="106">
                  <c:v>107291.62799534407</c:v>
                </c:pt>
                <c:pt idx="107">
                  <c:v>108298.45924220707</c:v>
                </c:pt>
                <c:pt idx="108">
                  <c:v>109305.06653415934</c:v>
                </c:pt>
                <c:pt idx="109">
                  <c:v>110311.45721331616</c:v>
                </c:pt>
                <c:pt idx="110">
                  <c:v>111317.63838108964</c:v>
                </c:pt>
                <c:pt idx="111">
                  <c:v>112323.61690607993</c:v>
                </c:pt>
                <c:pt idx="112">
                  <c:v>113329.39943170769</c:v>
                </c:pt>
                <c:pt idx="113">
                  <c:v>114334.99238359628</c:v>
                </c:pt>
                <c:pt idx="114">
                  <c:v>115340.40197671216</c:v>
                </c:pt>
                <c:pt idx="115">
                  <c:v>116345.63422227091</c:v>
                </c:pt>
                <c:pt idx="116">
                  <c:v>117350.694934417</c:v>
                </c:pt>
                <c:pt idx="117">
                  <c:v>118355.5897366846</c:v>
                </c:pt>
                <c:pt idx="118">
                  <c:v>119360.3240682465</c:v>
                </c:pt>
                <c:pt idx="119">
                  <c:v>120364.90318995819</c:v>
                </c:pt>
                <c:pt idx="120">
                  <c:v>121369.3321902038</c:v>
                </c:pt>
                <c:pt idx="121">
                  <c:v>122373.61599055039</c:v>
                </c:pt>
                <c:pt idx="122">
                  <c:v>123377.75935121687</c:v>
                </c:pt>
                <c:pt idx="123">
                  <c:v>124381.76687636359</c:v>
                </c:pt>
                <c:pt idx="124">
                  <c:v>125385.64301920858</c:v>
                </c:pt>
                <c:pt idx="125">
                  <c:v>126389.39208697603</c:v>
                </c:pt>
                <c:pt idx="126">
                  <c:v>127393.0182456825</c:v>
                </c:pt>
              </c:numCache>
            </c:numRef>
          </c:xVal>
          <c:yVal>
            <c:numRef>
              <c:f>'11-12-2007'!$G$42:$G$168</c:f>
              <c:numCache>
                <c:formatCode>#,#00</c:formatCode>
                <c:ptCount val="127"/>
                <c:pt idx="0">
                  <c:v>28</c:v>
                </c:pt>
                <c:pt idx="1">
                  <c:v>26.998932015929192</c:v>
                </c:pt>
                <c:pt idx="2">
                  <c:v>25.9294668278839</c:v>
                </c:pt>
                <c:pt idx="3">
                  <c:v>24.787423724411674</c:v>
                </c:pt>
                <c:pt idx="4">
                  <c:v>23.568486301059817</c:v>
                </c:pt>
                <c:pt idx="5">
                  <c:v>22.268236769178007</c:v>
                </c:pt>
                <c:pt idx="6">
                  <c:v>20.882207785942391</c:v>
                </c:pt>
                <c:pt idx="7">
                  <c:v>19.405959854044884</c:v>
                </c:pt>
                <c:pt idx="8">
                  <c:v>17.835196962240918</c:v>
                </c:pt>
                <c:pt idx="9">
                  <c:v>16.165941242823642</c:v>
                </c:pt>
                <c:pt idx="10">
                  <c:v>14.394802444419632</c:v>
                </c:pt>
                <c:pt idx="11">
                  <c:v>12.519407826647756</c:v>
                </c:pt>
                <c:pt idx="12">
                  <c:v>10.539122527345569</c:v>
                </c:pt>
                <c:pt idx="13">
                  <c:v>8.4563462618061429</c:v>
                </c:pt>
                <c:pt idx="14">
                  <c:v>6.2791114200669389</c:v>
                </c:pt>
                <c:pt idx="15">
                  <c:v>4.0272647342351826</c:v>
                </c:pt>
                <c:pt idx="16">
                  <c:v>1.7527992962538741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0480512"/>
        <c:axId val="80482688"/>
      </c:scatterChart>
      <c:valAx>
        <c:axId val="80480512"/>
        <c:scaling>
          <c:orientation val="minMax"/>
          <c:max val="30000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Distance (m)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80482688"/>
        <c:crosses val="autoZero"/>
        <c:crossBetween val="midCat"/>
      </c:valAx>
      <c:valAx>
        <c:axId val="80482688"/>
        <c:scaling>
          <c:orientation val="minMax"/>
          <c:max val="35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MY"/>
                  <a:t>Salinity (ppt)</a:t>
                </a:r>
              </a:p>
            </c:rich>
          </c:tx>
          <c:layout/>
          <c:overlay val="0"/>
        </c:title>
        <c:numFmt formatCode="0.0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l-NL"/>
          </a:p>
        </c:txPr>
        <c:crossAx val="80480512"/>
        <c:crosses val="autoZero"/>
        <c:crossBetween val="midCat"/>
      </c:valAx>
      <c:spPr>
        <a:solidFill>
          <a:schemeClr val="bg1">
            <a:lumMod val="85000"/>
          </a:schemeClr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67874946424854032"/>
          <c:y val="0.26716210473690777"/>
          <c:w val="0.21000526567149569"/>
          <c:h val="0.28909286339207629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0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nl-NL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nl-NL"/>
    </a:p>
  </c:txPr>
  <c:printSettings>
    <c:headerFooter alignWithMargins="0"/>
    <c:pageMargins b="1" l="0.75000000000000022" r="0.75000000000000022" t="1" header="0.5" footer="0.5"/>
    <c:pageSetup/>
  </c:printSettings>
</c:chartSpace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419101</xdr:colOff>
      <xdr:row>7</xdr:row>
      <xdr:rowOff>9525</xdr:rowOff>
    </xdr:from>
    <xdr:to>
      <xdr:col>4</xdr:col>
      <xdr:colOff>352426</xdr:colOff>
      <xdr:row>9</xdr:row>
      <xdr:rowOff>54667</xdr:rowOff>
    </xdr:to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TextBox 7"/>
            <xdr:cNvSpPr txBox="1"/>
          </xdr:nvSpPr>
          <xdr:spPr>
            <a:xfrm>
              <a:off x="1028701" y="1352550"/>
              <a:ext cx="2514600" cy="426142"/>
            </a:xfrm>
            <a:prstGeom prst="rect">
              <a:avLst/>
            </a:prstGeom>
            <a:solidFill>
              <a:schemeClr val="bg1">
                <a:alpha val="70000"/>
              </a:schemeClr>
            </a:solidFill>
          </xdr:spPr>
          <xdr:txBody>
            <a:bodyPr wrap="square" rtlCol="0">
              <a:spAutoFit/>
            </a:bodyPr>
            <a:lstStyle>
              <a:defPPr>
                <a:defRPr lang="nl-NL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14:m>
                <m:oMath xmlns:m="http://schemas.openxmlformats.org/officeDocument/2006/math">
                  <m:f>
                    <m:fPr>
                      <m:ctrlPr>
                        <a:rPr lang="nl-NL" sz="1200" i="1">
                          <a:latin typeface="Cambria Math"/>
                        </a:rPr>
                      </m:ctrlPr>
                    </m:fPr>
                    <m:num>
                      <m:sSub>
                        <m:sSubPr>
                          <m:ctrlPr>
                            <a:rPr lang="nl-NL" sz="1200" i="1">
                              <a:latin typeface="Cambria Math"/>
                            </a:rPr>
                          </m:ctrlPr>
                        </m:sSubPr>
                        <m:e>
                          <m:r>
                            <a:rPr lang="en-US" sz="1200" b="0" i="1">
                              <a:latin typeface="Cambria Math"/>
                            </a:rPr>
                            <m:t>𝑆</m:t>
                          </m:r>
                        </m:e>
                        <m:sub>
                          <m:r>
                            <a:rPr lang="en-US" sz="1200" b="0" i="1">
                              <a:latin typeface="Cambria Math"/>
                            </a:rPr>
                            <m:t>𝑥</m:t>
                          </m:r>
                        </m:sub>
                      </m:sSub>
                    </m:num>
                    <m:den>
                      <m:sSub>
                        <m:sSubPr>
                          <m:ctrlPr>
                            <a:rPr lang="nl-NL" sz="1200" i="1">
                              <a:latin typeface="Cambria Math"/>
                            </a:rPr>
                          </m:ctrlPr>
                        </m:sSubPr>
                        <m:e>
                          <m:r>
                            <a:rPr lang="en-US" sz="1200" b="0" i="1">
                              <a:latin typeface="Cambria Math"/>
                            </a:rPr>
                            <m:t>𝑆</m:t>
                          </m:r>
                        </m:e>
                        <m:sub>
                          <m:r>
                            <a:rPr lang="en-US" sz="1200" b="0" i="1">
                              <a:latin typeface="Cambria Math"/>
                            </a:rPr>
                            <m:t>0</m:t>
                          </m:r>
                        </m:sub>
                      </m:sSub>
                    </m:den>
                  </m:f>
                  <m:r>
                    <a:rPr lang="en-US" sz="1200" b="0" i="0">
                      <a:latin typeface="Cambria Math"/>
                    </a:rPr>
                    <m:t>=</m:t>
                  </m:r>
                  <m:sSup>
                    <m:sSupPr>
                      <m:ctrlPr>
                        <a:rPr lang="nl-NL" sz="1200" i="1">
                          <a:latin typeface="Cambria Math"/>
                        </a:rPr>
                      </m:ctrlPr>
                    </m:sSupPr>
                    <m:e>
                      <m:d>
                        <m:dPr>
                          <m:begChr m:val="["/>
                          <m:endChr m:val="]"/>
                          <m:ctrlPr>
                            <a:rPr lang="en-US" sz="1200" b="0" i="1">
                              <a:latin typeface="Cambria Math"/>
                            </a:rPr>
                          </m:ctrlPr>
                        </m:dPr>
                        <m:e>
                          <m:r>
                            <a:rPr lang="en-US" sz="1200" b="0" i="1">
                              <a:latin typeface="Cambria Math"/>
                            </a:rPr>
                            <m:t>1−</m:t>
                          </m:r>
                          <m:f>
                            <m:fPr>
                              <m:ctrlPr>
                                <a:rPr lang="en-US" sz="1200" b="0" i="1">
                                  <a:latin typeface="Cambria Math"/>
                                </a:rPr>
                              </m:ctrlPr>
                            </m:fPr>
                            <m:num>
                              <m:r>
                                <a:rPr lang="en-US" sz="1200" b="0" i="1">
                                  <a:latin typeface="Cambria Math"/>
                                </a:rPr>
                                <m:t>𝐾𝑎</m:t>
                              </m:r>
                              <m:d>
                                <m:dPr>
                                  <m:begChr m:val="|"/>
                                  <m:endChr m:val="|"/>
                                  <m:ctrlPr>
                                    <a:rPr lang="en-US" sz="1200" b="0" i="1">
                                      <a:latin typeface="Cambria Math"/>
                                    </a:rPr>
                                  </m:ctrlPr>
                                </m:dPr>
                                <m:e>
                                  <m:sSub>
                                    <m:sSubPr>
                                      <m:ctrlPr>
                                        <a:rPr lang="en-US" sz="1200" b="0" i="1">
                                          <a:latin typeface="Cambria Math"/>
                                        </a:rPr>
                                      </m:ctrlPr>
                                    </m:sSubPr>
                                    <m:e>
                                      <m:r>
                                        <a:rPr lang="en-US" sz="1200" b="0" i="1">
                                          <a:latin typeface="Cambria Math"/>
                                        </a:rPr>
                                        <m:t>𝑄</m:t>
                                      </m:r>
                                    </m:e>
                                    <m:sub>
                                      <m:r>
                                        <a:rPr lang="en-US" sz="1200" b="0" i="1">
                                          <a:latin typeface="Cambria Math"/>
                                        </a:rPr>
                                        <m:t>𝑟</m:t>
                                      </m:r>
                                    </m:sub>
                                  </m:sSub>
                                </m:e>
                              </m:d>
                            </m:num>
                            <m:den>
                              <m:sSub>
                                <m:sSubPr>
                                  <m:ctrlPr>
                                    <a:rPr lang="en-US" sz="1200" b="0" i="1">
                                      <a:latin typeface="Cambria Math"/>
                                    </a:rPr>
                                  </m:ctrlPr>
                                </m:sSubPr>
                                <m:e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𝐷</m:t>
                                  </m:r>
                                </m:e>
                                <m:sub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0</m:t>
                                  </m:r>
                                </m:sub>
                              </m:sSub>
                              <m:sSub>
                                <m:sSubPr>
                                  <m:ctrlPr>
                                    <a:rPr lang="en-US" sz="1200" b="0" i="1">
                                      <a:latin typeface="Cambria Math"/>
                                    </a:rPr>
                                  </m:ctrlPr>
                                </m:sSubPr>
                                <m:e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𝐴</m:t>
                                  </m:r>
                                </m:e>
                                <m:sub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0</m:t>
                                  </m:r>
                                </m:sub>
                              </m:sSub>
                            </m:den>
                          </m:f>
                          <m:d>
                            <m:dPr>
                              <m:ctrlPr>
                                <a:rPr lang="en-US" sz="1200" b="0" i="1">
                                  <a:latin typeface="Cambria Math"/>
                                </a:rPr>
                              </m:ctrlPr>
                            </m:dPr>
                            <m:e>
                              <m:sSup>
                                <m:sSupPr>
                                  <m:ctrlPr>
                                    <a:rPr lang="en-US" sz="1200" b="0" i="1">
                                      <a:latin typeface="Cambria Math"/>
                                    </a:rPr>
                                  </m:ctrlPr>
                                </m:sSupPr>
                                <m:e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𝑒</m:t>
                                  </m:r>
                                </m:e>
                                <m:sup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𝑥</m:t>
                                  </m:r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/</m:t>
                                  </m:r>
                                  <m:r>
                                    <a:rPr lang="en-US" sz="1200" b="0" i="1">
                                      <a:latin typeface="Cambria Math"/>
                                    </a:rPr>
                                    <m:t>𝑎</m:t>
                                  </m:r>
                                </m:sup>
                              </m:sSup>
                              <m:r>
                                <a:rPr lang="en-US" sz="1200" b="0" i="1">
                                  <a:latin typeface="Cambria Math"/>
                                </a:rPr>
                                <m:t>−1</m:t>
                              </m:r>
                            </m:e>
                          </m:d>
                        </m:e>
                      </m:d>
                    </m:e>
                    <m:sup>
                      <m:r>
                        <a:rPr lang="en-US" sz="1200" b="0" i="1">
                          <a:latin typeface="Cambria Math"/>
                        </a:rPr>
                        <m:t>𝐾</m:t>
                      </m:r>
                    </m:sup>
                  </m:sSup>
                </m:oMath>
              </a14:m>
              <a:r>
                <a:rPr lang="nl-NL" sz="1200"/>
                <a:t> (1)</a:t>
              </a:r>
            </a:p>
          </xdr:txBody>
        </xdr:sp>
      </mc:Choice>
      <mc:Fallback xmlns="">
        <xdr:sp macro="" textlink="">
          <xdr:nvSpPr>
            <xdr:cNvPr id="2" name="TextBox 7"/>
            <xdr:cNvSpPr txBox="1"/>
          </xdr:nvSpPr>
          <xdr:spPr>
            <a:xfrm>
              <a:off x="1028701" y="1352550"/>
              <a:ext cx="2514600" cy="426142"/>
            </a:xfrm>
            <a:prstGeom prst="rect">
              <a:avLst/>
            </a:prstGeom>
            <a:solidFill>
              <a:schemeClr val="bg1">
                <a:alpha val="70000"/>
              </a:schemeClr>
            </a:solidFill>
          </xdr:spPr>
          <xdr:txBody>
            <a:bodyPr wrap="square" rtlCol="0">
              <a:spAutoFit/>
            </a:bodyPr>
            <a:lstStyle>
              <a:defPPr>
                <a:defRPr lang="nl-NL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/>
              <a:r>
                <a:rPr lang="en-US" sz="1200" b="0" i="0">
                  <a:latin typeface="Cambria Math"/>
                </a:rPr>
                <a:t>𝑆</a:t>
              </a:r>
              <a:r>
                <a:rPr lang="nl-NL" sz="1200" b="0" i="0">
                  <a:latin typeface="Cambria Math"/>
                </a:rPr>
                <a:t>_</a:t>
              </a:r>
              <a:r>
                <a:rPr lang="en-US" sz="1200" b="0" i="0">
                  <a:latin typeface="Cambria Math"/>
                </a:rPr>
                <a:t>𝑥</a:t>
              </a:r>
              <a:r>
                <a:rPr lang="nl-NL" sz="1200" b="0" i="0">
                  <a:latin typeface="Cambria Math"/>
                </a:rPr>
                <a:t>/</a:t>
              </a:r>
              <a:r>
                <a:rPr lang="en-US" sz="1200" b="0" i="0">
                  <a:latin typeface="Cambria Math"/>
                </a:rPr>
                <a:t>𝑆</a:t>
              </a:r>
              <a:r>
                <a:rPr lang="nl-NL" sz="1200" b="0" i="0">
                  <a:latin typeface="Cambria Math"/>
                </a:rPr>
                <a:t>_</a:t>
              </a:r>
              <a:r>
                <a:rPr lang="en-US" sz="1200" b="0" i="0">
                  <a:latin typeface="Cambria Math"/>
                </a:rPr>
                <a:t>0 =[1−𝐾𝑎|𝑄_𝑟 |/(𝐷_0 𝐴_0 ) (𝑒^(𝑥/𝑎)−1)]</a:t>
              </a:r>
              <a:r>
                <a:rPr lang="nl-NL" sz="1200" b="0" i="0">
                  <a:latin typeface="Cambria Math"/>
                </a:rPr>
                <a:t>^</a:t>
              </a:r>
              <a:r>
                <a:rPr lang="en-US" sz="1200" b="0" i="0">
                  <a:latin typeface="Cambria Math"/>
                </a:rPr>
                <a:t>𝐾</a:t>
              </a:r>
              <a:r>
                <a:rPr lang="nl-NL" sz="1200"/>
                <a:t> (1)</a:t>
              </a:r>
            </a:p>
          </xdr:txBody>
        </xdr:sp>
      </mc:Fallback>
    </mc:AlternateContent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9526</xdr:colOff>
      <xdr:row>0</xdr:row>
      <xdr:rowOff>0</xdr:rowOff>
    </xdr:from>
    <xdr:to>
      <xdr:col>22</xdr:col>
      <xdr:colOff>0</xdr:colOff>
      <xdr:row>24</xdr:row>
      <xdr:rowOff>142875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9526</xdr:colOff>
      <xdr:row>0</xdr:row>
      <xdr:rowOff>0</xdr:rowOff>
    </xdr:from>
    <xdr:to>
      <xdr:col>22</xdr:col>
      <xdr:colOff>0</xdr:colOff>
      <xdr:row>24</xdr:row>
      <xdr:rowOff>142875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40"/>
  <sheetViews>
    <sheetView tabSelected="1" zoomScaleNormal="100" workbookViewId="0">
      <selection activeCell="I27" sqref="I27"/>
    </sheetView>
  </sheetViews>
  <sheetFormatPr defaultRowHeight="15" x14ac:dyDescent="0.25"/>
  <cols>
    <col min="1" max="1" width="9.140625" style="3"/>
    <col min="2" max="2" width="20.42578125" style="3" bestFit="1" customWidth="1"/>
    <col min="3" max="16384" width="9.140625" style="3"/>
  </cols>
  <sheetData>
    <row r="1" spans="2:5" ht="15.75" thickBot="1" x14ac:dyDescent="0.3"/>
    <row r="2" spans="2:5" x14ac:dyDescent="0.25">
      <c r="B2" s="126" t="s">
        <v>62</v>
      </c>
      <c r="C2" s="127"/>
      <c r="D2" s="127"/>
      <c r="E2" s="128"/>
    </row>
    <row r="3" spans="2:5" x14ac:dyDescent="0.25">
      <c r="B3" s="129"/>
      <c r="C3" s="130"/>
      <c r="D3" s="130"/>
      <c r="E3" s="131"/>
    </row>
    <row r="4" spans="2:5" x14ac:dyDescent="0.25">
      <c r="B4" s="129"/>
      <c r="C4" s="130"/>
      <c r="D4" s="130"/>
      <c r="E4" s="131"/>
    </row>
    <row r="5" spans="2:5" x14ac:dyDescent="0.25">
      <c r="B5" s="129"/>
      <c r="C5" s="130"/>
      <c r="D5" s="130"/>
      <c r="E5" s="131"/>
    </row>
    <row r="6" spans="2:5" x14ac:dyDescent="0.25">
      <c r="B6" s="129"/>
      <c r="C6" s="130"/>
      <c r="D6" s="130"/>
      <c r="E6" s="131"/>
    </row>
    <row r="7" spans="2:5" x14ac:dyDescent="0.25">
      <c r="B7" s="129"/>
      <c r="C7" s="130"/>
      <c r="D7" s="130"/>
      <c r="E7" s="131"/>
    </row>
    <row r="8" spans="2:5" x14ac:dyDescent="0.25">
      <c r="B8" s="129"/>
      <c r="C8" s="130"/>
      <c r="D8" s="130"/>
      <c r="E8" s="131"/>
    </row>
    <row r="9" spans="2:5" x14ac:dyDescent="0.25">
      <c r="B9" s="129"/>
      <c r="C9" s="130"/>
      <c r="D9" s="130"/>
      <c r="E9" s="131"/>
    </row>
    <row r="10" spans="2:5" x14ac:dyDescent="0.25">
      <c r="B10" s="129"/>
      <c r="C10" s="130"/>
      <c r="D10" s="130"/>
      <c r="E10" s="131"/>
    </row>
    <row r="11" spans="2:5" x14ac:dyDescent="0.25">
      <c r="B11" s="129"/>
      <c r="C11" s="130"/>
      <c r="D11" s="130"/>
      <c r="E11" s="131"/>
    </row>
    <row r="12" spans="2:5" ht="15.75" thickBot="1" x14ac:dyDescent="0.3">
      <c r="B12" s="132"/>
      <c r="C12" s="133"/>
      <c r="D12" s="133"/>
      <c r="E12" s="134"/>
    </row>
    <row r="13" spans="2:5" ht="15.75" thickBot="1" x14ac:dyDescent="0.3"/>
    <row r="14" spans="2:5" ht="15.75" thickBot="1" x14ac:dyDescent="0.3">
      <c r="B14" s="123" t="s">
        <v>61</v>
      </c>
      <c r="C14" s="124"/>
      <c r="D14" s="124"/>
      <c r="E14" s="125"/>
    </row>
    <row r="15" spans="2:5" ht="15.75" thickBot="1" x14ac:dyDescent="0.3">
      <c r="B15" s="120" t="s">
        <v>65</v>
      </c>
      <c r="C15" s="121"/>
      <c r="D15" s="121"/>
      <c r="E15" s="122"/>
    </row>
    <row r="16" spans="2:5" ht="15.75" thickBot="1" x14ac:dyDescent="0.3"/>
    <row r="17" spans="2:5" ht="15.75" thickBot="1" x14ac:dyDescent="0.3">
      <c r="B17" s="123" t="s">
        <v>3</v>
      </c>
      <c r="C17" s="124"/>
      <c r="D17" s="124"/>
      <c r="E17" s="125"/>
    </row>
    <row r="18" spans="2:5" x14ac:dyDescent="0.25">
      <c r="B18" s="28" t="s">
        <v>8</v>
      </c>
      <c r="C18" s="8" t="s">
        <v>9</v>
      </c>
      <c r="D18" s="110">
        <v>1070</v>
      </c>
      <c r="E18" s="10" t="s">
        <v>10</v>
      </c>
    </row>
    <row r="19" spans="2:5" x14ac:dyDescent="0.25">
      <c r="B19" s="20" t="s">
        <v>14</v>
      </c>
      <c r="C19" s="15" t="s">
        <v>15</v>
      </c>
      <c r="D19" s="102">
        <f>D18*EXP(-D22/D20)</f>
        <v>1070</v>
      </c>
      <c r="E19" s="17" t="s">
        <v>10</v>
      </c>
    </row>
    <row r="20" spans="2:5" x14ac:dyDescent="0.25">
      <c r="B20" s="24" t="s">
        <v>52</v>
      </c>
      <c r="C20" s="15" t="s">
        <v>20</v>
      </c>
      <c r="D20" s="102">
        <v>14300</v>
      </c>
      <c r="E20" s="23" t="s">
        <v>7</v>
      </c>
    </row>
    <row r="21" spans="2:5" x14ac:dyDescent="0.25">
      <c r="B21" s="55" t="s">
        <v>58</v>
      </c>
      <c r="C21" s="15" t="s">
        <v>23</v>
      </c>
      <c r="D21" s="102">
        <v>14300</v>
      </c>
      <c r="E21" s="23" t="s">
        <v>7</v>
      </c>
    </row>
    <row r="22" spans="2:5" x14ac:dyDescent="0.25">
      <c r="B22" s="55" t="s">
        <v>57</v>
      </c>
      <c r="C22" s="15" t="s">
        <v>25</v>
      </c>
      <c r="D22" s="1">
        <v>0</v>
      </c>
      <c r="E22" s="17" t="s">
        <v>7</v>
      </c>
    </row>
    <row r="23" spans="2:5" ht="15.75" thickBot="1" x14ac:dyDescent="0.3">
      <c r="B23" s="87" t="s">
        <v>28</v>
      </c>
      <c r="C23" s="38" t="s">
        <v>29</v>
      </c>
      <c r="D23" s="103">
        <v>3</v>
      </c>
      <c r="E23" s="89" t="s">
        <v>7</v>
      </c>
    </row>
    <row r="24" spans="2:5" ht="15.75" thickBot="1" x14ac:dyDescent="0.3"/>
    <row r="25" spans="2:5" ht="15.75" thickBot="1" x14ac:dyDescent="0.3">
      <c r="B25" s="123" t="s">
        <v>11</v>
      </c>
      <c r="C25" s="124"/>
      <c r="D25" s="124"/>
      <c r="E25" s="125"/>
    </row>
    <row r="26" spans="2:5" x14ac:dyDescent="0.25">
      <c r="B26" s="135">
        <v>39382</v>
      </c>
      <c r="C26" s="136"/>
      <c r="D26" s="136"/>
      <c r="E26" s="137"/>
    </row>
    <row r="27" spans="2:5" x14ac:dyDescent="0.25">
      <c r="B27" s="114">
        <v>39427</v>
      </c>
      <c r="C27" s="115"/>
      <c r="D27" s="115"/>
      <c r="E27" s="116"/>
    </row>
    <row r="28" spans="2:5" x14ac:dyDescent="0.25">
      <c r="B28" s="114"/>
      <c r="C28" s="115"/>
      <c r="D28" s="115"/>
      <c r="E28" s="116"/>
    </row>
    <row r="29" spans="2:5" x14ac:dyDescent="0.25">
      <c r="B29" s="114"/>
      <c r="C29" s="115"/>
      <c r="D29" s="115"/>
      <c r="E29" s="116"/>
    </row>
    <row r="30" spans="2:5" x14ac:dyDescent="0.25">
      <c r="B30" s="114"/>
      <c r="C30" s="115"/>
      <c r="D30" s="115"/>
      <c r="E30" s="116"/>
    </row>
    <row r="31" spans="2:5" x14ac:dyDescent="0.25">
      <c r="B31" s="114"/>
      <c r="C31" s="115"/>
      <c r="D31" s="115"/>
      <c r="E31" s="116"/>
    </row>
    <row r="32" spans="2:5" x14ac:dyDescent="0.25">
      <c r="B32" s="114"/>
      <c r="C32" s="115"/>
      <c r="D32" s="115"/>
      <c r="E32" s="116"/>
    </row>
    <row r="33" spans="2:5" x14ac:dyDescent="0.25">
      <c r="B33" s="114"/>
      <c r="C33" s="115"/>
      <c r="D33" s="115"/>
      <c r="E33" s="116"/>
    </row>
    <row r="34" spans="2:5" x14ac:dyDescent="0.25">
      <c r="B34" s="114"/>
      <c r="C34" s="115"/>
      <c r="D34" s="115"/>
      <c r="E34" s="116"/>
    </row>
    <row r="35" spans="2:5" x14ac:dyDescent="0.25">
      <c r="B35" s="114"/>
      <c r="C35" s="115"/>
      <c r="D35" s="115"/>
      <c r="E35" s="116"/>
    </row>
    <row r="36" spans="2:5" x14ac:dyDescent="0.25">
      <c r="B36" s="114"/>
      <c r="C36" s="115"/>
      <c r="D36" s="115"/>
      <c r="E36" s="116"/>
    </row>
    <row r="37" spans="2:5" x14ac:dyDescent="0.25">
      <c r="B37" s="114"/>
      <c r="C37" s="115"/>
      <c r="D37" s="115"/>
      <c r="E37" s="116"/>
    </row>
    <row r="38" spans="2:5" x14ac:dyDescent="0.25">
      <c r="B38" s="114"/>
      <c r="C38" s="115"/>
      <c r="D38" s="115"/>
      <c r="E38" s="116"/>
    </row>
    <row r="39" spans="2:5" x14ac:dyDescent="0.25">
      <c r="B39" s="114"/>
      <c r="C39" s="115"/>
      <c r="D39" s="115"/>
      <c r="E39" s="116"/>
    </row>
    <row r="40" spans="2:5" ht="15.75" thickBot="1" x14ac:dyDescent="0.3">
      <c r="B40" s="117"/>
      <c r="C40" s="118"/>
      <c r="D40" s="118"/>
      <c r="E40" s="119"/>
    </row>
  </sheetData>
  <mergeCells count="20">
    <mergeCell ref="B2:E12"/>
    <mergeCell ref="B14:E14"/>
    <mergeCell ref="B25:E25"/>
    <mergeCell ref="B26:E26"/>
    <mergeCell ref="B27:E27"/>
    <mergeCell ref="B38:E38"/>
    <mergeCell ref="B39:E39"/>
    <mergeCell ref="B40:E40"/>
    <mergeCell ref="B15:E15"/>
    <mergeCell ref="B17:E17"/>
    <mergeCell ref="B31:E31"/>
    <mergeCell ref="B32:E32"/>
    <mergeCell ref="B33:E33"/>
    <mergeCell ref="B34:E34"/>
    <mergeCell ref="B35:E35"/>
    <mergeCell ref="B37:E37"/>
    <mergeCell ref="B36:E36"/>
    <mergeCell ref="B28:E28"/>
    <mergeCell ref="B29:E29"/>
    <mergeCell ref="B30:E30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K169"/>
  <sheetViews>
    <sheetView workbookViewId="0">
      <selection activeCell="C13" sqref="C13"/>
    </sheetView>
  </sheetViews>
  <sheetFormatPr defaultColWidth="8.42578125" defaultRowHeight="15" x14ac:dyDescent="0.25"/>
  <cols>
    <col min="1" max="1" width="20.28515625" style="3" customWidth="1"/>
    <col min="2" max="2" width="6.7109375" style="21" customWidth="1"/>
    <col min="3" max="3" width="7.42578125" style="21" customWidth="1"/>
    <col min="4" max="4" width="8.140625" style="21" customWidth="1"/>
    <col min="5" max="5" width="10" style="3" customWidth="1"/>
    <col min="6" max="6" width="9.28515625" style="3" bestFit="1" customWidth="1"/>
    <col min="7" max="7" width="6.85546875" style="3" customWidth="1"/>
    <col min="8" max="8" width="10.42578125" style="3" bestFit="1" customWidth="1"/>
    <col min="9" max="12" width="6.42578125" style="3" customWidth="1"/>
    <col min="13" max="13" width="10.140625" style="3" bestFit="1" customWidth="1"/>
    <col min="14" max="17" width="6.42578125" style="3" customWidth="1"/>
    <col min="18" max="19" width="9.42578125" style="3" customWidth="1"/>
    <col min="20" max="20" width="9.85546875" style="3" customWidth="1"/>
    <col min="21" max="22" width="6.42578125" style="3" customWidth="1"/>
    <col min="23" max="23" width="8" style="3" customWidth="1"/>
    <col min="24" max="24" width="6.85546875" style="3" customWidth="1"/>
    <col min="25" max="256" width="8.42578125" style="3"/>
    <col min="257" max="257" width="17.85546875" style="3" customWidth="1"/>
    <col min="258" max="258" width="6.7109375" style="3" customWidth="1"/>
    <col min="259" max="259" width="7.42578125" style="3" customWidth="1"/>
    <col min="260" max="260" width="8.140625" style="3" customWidth="1"/>
    <col min="261" max="261" width="10" style="3" customWidth="1"/>
    <col min="262" max="262" width="8" style="3" customWidth="1"/>
    <col min="263" max="263" width="6.85546875" style="3" customWidth="1"/>
    <col min="264" max="264" width="7.42578125" style="3" customWidth="1"/>
    <col min="265" max="273" width="6.42578125" style="3" customWidth="1"/>
    <col min="274" max="275" width="9.42578125" style="3" customWidth="1"/>
    <col min="276" max="276" width="9.85546875" style="3" customWidth="1"/>
    <col min="277" max="278" width="6.42578125" style="3" customWidth="1"/>
    <col min="279" max="279" width="8" style="3" customWidth="1"/>
    <col min="280" max="280" width="6.85546875" style="3" customWidth="1"/>
    <col min="281" max="512" width="8.42578125" style="3"/>
    <col min="513" max="513" width="17.85546875" style="3" customWidth="1"/>
    <col min="514" max="514" width="6.7109375" style="3" customWidth="1"/>
    <col min="515" max="515" width="7.42578125" style="3" customWidth="1"/>
    <col min="516" max="516" width="8.140625" style="3" customWidth="1"/>
    <col min="517" max="517" width="10" style="3" customWidth="1"/>
    <col min="518" max="518" width="8" style="3" customWidth="1"/>
    <col min="519" max="519" width="6.85546875" style="3" customWidth="1"/>
    <col min="520" max="520" width="7.42578125" style="3" customWidth="1"/>
    <col min="521" max="529" width="6.42578125" style="3" customWidth="1"/>
    <col min="530" max="531" width="9.42578125" style="3" customWidth="1"/>
    <col min="532" max="532" width="9.85546875" style="3" customWidth="1"/>
    <col min="533" max="534" width="6.42578125" style="3" customWidth="1"/>
    <col min="535" max="535" width="8" style="3" customWidth="1"/>
    <col min="536" max="536" width="6.85546875" style="3" customWidth="1"/>
    <col min="537" max="768" width="8.42578125" style="3"/>
    <col min="769" max="769" width="17.85546875" style="3" customWidth="1"/>
    <col min="770" max="770" width="6.7109375" style="3" customWidth="1"/>
    <col min="771" max="771" width="7.42578125" style="3" customWidth="1"/>
    <col min="772" max="772" width="8.140625" style="3" customWidth="1"/>
    <col min="773" max="773" width="10" style="3" customWidth="1"/>
    <col min="774" max="774" width="8" style="3" customWidth="1"/>
    <col min="775" max="775" width="6.85546875" style="3" customWidth="1"/>
    <col min="776" max="776" width="7.42578125" style="3" customWidth="1"/>
    <col min="777" max="785" width="6.42578125" style="3" customWidth="1"/>
    <col min="786" max="787" width="9.42578125" style="3" customWidth="1"/>
    <col min="788" max="788" width="9.85546875" style="3" customWidth="1"/>
    <col min="789" max="790" width="6.42578125" style="3" customWidth="1"/>
    <col min="791" max="791" width="8" style="3" customWidth="1"/>
    <col min="792" max="792" width="6.85546875" style="3" customWidth="1"/>
    <col min="793" max="1024" width="8.42578125" style="3"/>
    <col min="1025" max="1025" width="17.85546875" style="3" customWidth="1"/>
    <col min="1026" max="1026" width="6.7109375" style="3" customWidth="1"/>
    <col min="1027" max="1027" width="7.42578125" style="3" customWidth="1"/>
    <col min="1028" max="1028" width="8.140625" style="3" customWidth="1"/>
    <col min="1029" max="1029" width="10" style="3" customWidth="1"/>
    <col min="1030" max="1030" width="8" style="3" customWidth="1"/>
    <col min="1031" max="1031" width="6.85546875" style="3" customWidth="1"/>
    <col min="1032" max="1032" width="7.42578125" style="3" customWidth="1"/>
    <col min="1033" max="1041" width="6.42578125" style="3" customWidth="1"/>
    <col min="1042" max="1043" width="9.42578125" style="3" customWidth="1"/>
    <col min="1044" max="1044" width="9.85546875" style="3" customWidth="1"/>
    <col min="1045" max="1046" width="6.42578125" style="3" customWidth="1"/>
    <col min="1047" max="1047" width="8" style="3" customWidth="1"/>
    <col min="1048" max="1048" width="6.85546875" style="3" customWidth="1"/>
    <col min="1049" max="1280" width="8.42578125" style="3"/>
    <col min="1281" max="1281" width="17.85546875" style="3" customWidth="1"/>
    <col min="1282" max="1282" width="6.7109375" style="3" customWidth="1"/>
    <col min="1283" max="1283" width="7.42578125" style="3" customWidth="1"/>
    <col min="1284" max="1284" width="8.140625" style="3" customWidth="1"/>
    <col min="1285" max="1285" width="10" style="3" customWidth="1"/>
    <col min="1286" max="1286" width="8" style="3" customWidth="1"/>
    <col min="1287" max="1287" width="6.85546875" style="3" customWidth="1"/>
    <col min="1288" max="1288" width="7.42578125" style="3" customWidth="1"/>
    <col min="1289" max="1297" width="6.42578125" style="3" customWidth="1"/>
    <col min="1298" max="1299" width="9.42578125" style="3" customWidth="1"/>
    <col min="1300" max="1300" width="9.85546875" style="3" customWidth="1"/>
    <col min="1301" max="1302" width="6.42578125" style="3" customWidth="1"/>
    <col min="1303" max="1303" width="8" style="3" customWidth="1"/>
    <col min="1304" max="1304" width="6.85546875" style="3" customWidth="1"/>
    <col min="1305" max="1536" width="8.42578125" style="3"/>
    <col min="1537" max="1537" width="17.85546875" style="3" customWidth="1"/>
    <col min="1538" max="1538" width="6.7109375" style="3" customWidth="1"/>
    <col min="1539" max="1539" width="7.42578125" style="3" customWidth="1"/>
    <col min="1540" max="1540" width="8.140625" style="3" customWidth="1"/>
    <col min="1541" max="1541" width="10" style="3" customWidth="1"/>
    <col min="1542" max="1542" width="8" style="3" customWidth="1"/>
    <col min="1543" max="1543" width="6.85546875" style="3" customWidth="1"/>
    <col min="1544" max="1544" width="7.42578125" style="3" customWidth="1"/>
    <col min="1545" max="1553" width="6.42578125" style="3" customWidth="1"/>
    <col min="1554" max="1555" width="9.42578125" style="3" customWidth="1"/>
    <col min="1556" max="1556" width="9.85546875" style="3" customWidth="1"/>
    <col min="1557" max="1558" width="6.42578125" style="3" customWidth="1"/>
    <col min="1559" max="1559" width="8" style="3" customWidth="1"/>
    <col min="1560" max="1560" width="6.85546875" style="3" customWidth="1"/>
    <col min="1561" max="1792" width="8.42578125" style="3"/>
    <col min="1793" max="1793" width="17.85546875" style="3" customWidth="1"/>
    <col min="1794" max="1794" width="6.7109375" style="3" customWidth="1"/>
    <col min="1795" max="1795" width="7.42578125" style="3" customWidth="1"/>
    <col min="1796" max="1796" width="8.140625" style="3" customWidth="1"/>
    <col min="1797" max="1797" width="10" style="3" customWidth="1"/>
    <col min="1798" max="1798" width="8" style="3" customWidth="1"/>
    <col min="1799" max="1799" width="6.85546875" style="3" customWidth="1"/>
    <col min="1800" max="1800" width="7.42578125" style="3" customWidth="1"/>
    <col min="1801" max="1809" width="6.42578125" style="3" customWidth="1"/>
    <col min="1810" max="1811" width="9.42578125" style="3" customWidth="1"/>
    <col min="1812" max="1812" width="9.85546875" style="3" customWidth="1"/>
    <col min="1813" max="1814" width="6.42578125" style="3" customWidth="1"/>
    <col min="1815" max="1815" width="8" style="3" customWidth="1"/>
    <col min="1816" max="1816" width="6.85546875" style="3" customWidth="1"/>
    <col min="1817" max="2048" width="8.42578125" style="3"/>
    <col min="2049" max="2049" width="17.85546875" style="3" customWidth="1"/>
    <col min="2050" max="2050" width="6.7109375" style="3" customWidth="1"/>
    <col min="2051" max="2051" width="7.42578125" style="3" customWidth="1"/>
    <col min="2052" max="2052" width="8.140625" style="3" customWidth="1"/>
    <col min="2053" max="2053" width="10" style="3" customWidth="1"/>
    <col min="2054" max="2054" width="8" style="3" customWidth="1"/>
    <col min="2055" max="2055" width="6.85546875" style="3" customWidth="1"/>
    <col min="2056" max="2056" width="7.42578125" style="3" customWidth="1"/>
    <col min="2057" max="2065" width="6.42578125" style="3" customWidth="1"/>
    <col min="2066" max="2067" width="9.42578125" style="3" customWidth="1"/>
    <col min="2068" max="2068" width="9.85546875" style="3" customWidth="1"/>
    <col min="2069" max="2070" width="6.42578125" style="3" customWidth="1"/>
    <col min="2071" max="2071" width="8" style="3" customWidth="1"/>
    <col min="2072" max="2072" width="6.85546875" style="3" customWidth="1"/>
    <col min="2073" max="2304" width="8.42578125" style="3"/>
    <col min="2305" max="2305" width="17.85546875" style="3" customWidth="1"/>
    <col min="2306" max="2306" width="6.7109375" style="3" customWidth="1"/>
    <col min="2307" max="2307" width="7.42578125" style="3" customWidth="1"/>
    <col min="2308" max="2308" width="8.140625" style="3" customWidth="1"/>
    <col min="2309" max="2309" width="10" style="3" customWidth="1"/>
    <col min="2310" max="2310" width="8" style="3" customWidth="1"/>
    <col min="2311" max="2311" width="6.85546875" style="3" customWidth="1"/>
    <col min="2312" max="2312" width="7.42578125" style="3" customWidth="1"/>
    <col min="2313" max="2321" width="6.42578125" style="3" customWidth="1"/>
    <col min="2322" max="2323" width="9.42578125" style="3" customWidth="1"/>
    <col min="2324" max="2324" width="9.85546875" style="3" customWidth="1"/>
    <col min="2325" max="2326" width="6.42578125" style="3" customWidth="1"/>
    <col min="2327" max="2327" width="8" style="3" customWidth="1"/>
    <col min="2328" max="2328" width="6.85546875" style="3" customWidth="1"/>
    <col min="2329" max="2560" width="8.42578125" style="3"/>
    <col min="2561" max="2561" width="17.85546875" style="3" customWidth="1"/>
    <col min="2562" max="2562" width="6.7109375" style="3" customWidth="1"/>
    <col min="2563" max="2563" width="7.42578125" style="3" customWidth="1"/>
    <col min="2564" max="2564" width="8.140625" style="3" customWidth="1"/>
    <col min="2565" max="2565" width="10" style="3" customWidth="1"/>
    <col min="2566" max="2566" width="8" style="3" customWidth="1"/>
    <col min="2567" max="2567" width="6.85546875" style="3" customWidth="1"/>
    <col min="2568" max="2568" width="7.42578125" style="3" customWidth="1"/>
    <col min="2569" max="2577" width="6.42578125" style="3" customWidth="1"/>
    <col min="2578" max="2579" width="9.42578125" style="3" customWidth="1"/>
    <col min="2580" max="2580" width="9.85546875" style="3" customWidth="1"/>
    <col min="2581" max="2582" width="6.42578125" style="3" customWidth="1"/>
    <col min="2583" max="2583" width="8" style="3" customWidth="1"/>
    <col min="2584" max="2584" width="6.85546875" style="3" customWidth="1"/>
    <col min="2585" max="2816" width="8.42578125" style="3"/>
    <col min="2817" max="2817" width="17.85546875" style="3" customWidth="1"/>
    <col min="2818" max="2818" width="6.7109375" style="3" customWidth="1"/>
    <col min="2819" max="2819" width="7.42578125" style="3" customWidth="1"/>
    <col min="2820" max="2820" width="8.140625" style="3" customWidth="1"/>
    <col min="2821" max="2821" width="10" style="3" customWidth="1"/>
    <col min="2822" max="2822" width="8" style="3" customWidth="1"/>
    <col min="2823" max="2823" width="6.85546875" style="3" customWidth="1"/>
    <col min="2824" max="2824" width="7.42578125" style="3" customWidth="1"/>
    <col min="2825" max="2833" width="6.42578125" style="3" customWidth="1"/>
    <col min="2834" max="2835" width="9.42578125" style="3" customWidth="1"/>
    <col min="2836" max="2836" width="9.85546875" style="3" customWidth="1"/>
    <col min="2837" max="2838" width="6.42578125" style="3" customWidth="1"/>
    <col min="2839" max="2839" width="8" style="3" customWidth="1"/>
    <col min="2840" max="2840" width="6.85546875" style="3" customWidth="1"/>
    <col min="2841" max="3072" width="8.42578125" style="3"/>
    <col min="3073" max="3073" width="17.85546875" style="3" customWidth="1"/>
    <col min="3074" max="3074" width="6.7109375" style="3" customWidth="1"/>
    <col min="3075" max="3075" width="7.42578125" style="3" customWidth="1"/>
    <col min="3076" max="3076" width="8.140625" style="3" customWidth="1"/>
    <col min="3077" max="3077" width="10" style="3" customWidth="1"/>
    <col min="3078" max="3078" width="8" style="3" customWidth="1"/>
    <col min="3079" max="3079" width="6.85546875" style="3" customWidth="1"/>
    <col min="3080" max="3080" width="7.42578125" style="3" customWidth="1"/>
    <col min="3081" max="3089" width="6.42578125" style="3" customWidth="1"/>
    <col min="3090" max="3091" width="9.42578125" style="3" customWidth="1"/>
    <col min="3092" max="3092" width="9.85546875" style="3" customWidth="1"/>
    <col min="3093" max="3094" width="6.42578125" style="3" customWidth="1"/>
    <col min="3095" max="3095" width="8" style="3" customWidth="1"/>
    <col min="3096" max="3096" width="6.85546875" style="3" customWidth="1"/>
    <col min="3097" max="3328" width="8.42578125" style="3"/>
    <col min="3329" max="3329" width="17.85546875" style="3" customWidth="1"/>
    <col min="3330" max="3330" width="6.7109375" style="3" customWidth="1"/>
    <col min="3331" max="3331" width="7.42578125" style="3" customWidth="1"/>
    <col min="3332" max="3332" width="8.140625" style="3" customWidth="1"/>
    <col min="3333" max="3333" width="10" style="3" customWidth="1"/>
    <col min="3334" max="3334" width="8" style="3" customWidth="1"/>
    <col min="3335" max="3335" width="6.85546875" style="3" customWidth="1"/>
    <col min="3336" max="3336" width="7.42578125" style="3" customWidth="1"/>
    <col min="3337" max="3345" width="6.42578125" style="3" customWidth="1"/>
    <col min="3346" max="3347" width="9.42578125" style="3" customWidth="1"/>
    <col min="3348" max="3348" width="9.85546875" style="3" customWidth="1"/>
    <col min="3349" max="3350" width="6.42578125" style="3" customWidth="1"/>
    <col min="3351" max="3351" width="8" style="3" customWidth="1"/>
    <col min="3352" max="3352" width="6.85546875" style="3" customWidth="1"/>
    <col min="3353" max="3584" width="8.42578125" style="3"/>
    <col min="3585" max="3585" width="17.85546875" style="3" customWidth="1"/>
    <col min="3586" max="3586" width="6.7109375" style="3" customWidth="1"/>
    <col min="3587" max="3587" width="7.42578125" style="3" customWidth="1"/>
    <col min="3588" max="3588" width="8.140625" style="3" customWidth="1"/>
    <col min="3589" max="3589" width="10" style="3" customWidth="1"/>
    <col min="3590" max="3590" width="8" style="3" customWidth="1"/>
    <col min="3591" max="3591" width="6.85546875" style="3" customWidth="1"/>
    <col min="3592" max="3592" width="7.42578125" style="3" customWidth="1"/>
    <col min="3593" max="3601" width="6.42578125" style="3" customWidth="1"/>
    <col min="3602" max="3603" width="9.42578125" style="3" customWidth="1"/>
    <col min="3604" max="3604" width="9.85546875" style="3" customWidth="1"/>
    <col min="3605" max="3606" width="6.42578125" style="3" customWidth="1"/>
    <col min="3607" max="3607" width="8" style="3" customWidth="1"/>
    <col min="3608" max="3608" width="6.85546875" style="3" customWidth="1"/>
    <col min="3609" max="3840" width="8.42578125" style="3"/>
    <col min="3841" max="3841" width="17.85546875" style="3" customWidth="1"/>
    <col min="3842" max="3842" width="6.7109375" style="3" customWidth="1"/>
    <col min="3843" max="3843" width="7.42578125" style="3" customWidth="1"/>
    <col min="3844" max="3844" width="8.140625" style="3" customWidth="1"/>
    <col min="3845" max="3845" width="10" style="3" customWidth="1"/>
    <col min="3846" max="3846" width="8" style="3" customWidth="1"/>
    <col min="3847" max="3847" width="6.85546875" style="3" customWidth="1"/>
    <col min="3848" max="3848" width="7.42578125" style="3" customWidth="1"/>
    <col min="3849" max="3857" width="6.42578125" style="3" customWidth="1"/>
    <col min="3858" max="3859" width="9.42578125" style="3" customWidth="1"/>
    <col min="3860" max="3860" width="9.85546875" style="3" customWidth="1"/>
    <col min="3861" max="3862" width="6.42578125" style="3" customWidth="1"/>
    <col min="3863" max="3863" width="8" style="3" customWidth="1"/>
    <col min="3864" max="3864" width="6.85546875" style="3" customWidth="1"/>
    <col min="3865" max="4096" width="8.42578125" style="3"/>
    <col min="4097" max="4097" width="17.85546875" style="3" customWidth="1"/>
    <col min="4098" max="4098" width="6.7109375" style="3" customWidth="1"/>
    <col min="4099" max="4099" width="7.42578125" style="3" customWidth="1"/>
    <col min="4100" max="4100" width="8.140625" style="3" customWidth="1"/>
    <col min="4101" max="4101" width="10" style="3" customWidth="1"/>
    <col min="4102" max="4102" width="8" style="3" customWidth="1"/>
    <col min="4103" max="4103" width="6.85546875" style="3" customWidth="1"/>
    <col min="4104" max="4104" width="7.42578125" style="3" customWidth="1"/>
    <col min="4105" max="4113" width="6.42578125" style="3" customWidth="1"/>
    <col min="4114" max="4115" width="9.42578125" style="3" customWidth="1"/>
    <col min="4116" max="4116" width="9.85546875" style="3" customWidth="1"/>
    <col min="4117" max="4118" width="6.42578125" style="3" customWidth="1"/>
    <col min="4119" max="4119" width="8" style="3" customWidth="1"/>
    <col min="4120" max="4120" width="6.85546875" style="3" customWidth="1"/>
    <col min="4121" max="4352" width="8.42578125" style="3"/>
    <col min="4353" max="4353" width="17.85546875" style="3" customWidth="1"/>
    <col min="4354" max="4354" width="6.7109375" style="3" customWidth="1"/>
    <col min="4355" max="4355" width="7.42578125" style="3" customWidth="1"/>
    <col min="4356" max="4356" width="8.140625" style="3" customWidth="1"/>
    <col min="4357" max="4357" width="10" style="3" customWidth="1"/>
    <col min="4358" max="4358" width="8" style="3" customWidth="1"/>
    <col min="4359" max="4359" width="6.85546875" style="3" customWidth="1"/>
    <col min="4360" max="4360" width="7.42578125" style="3" customWidth="1"/>
    <col min="4361" max="4369" width="6.42578125" style="3" customWidth="1"/>
    <col min="4370" max="4371" width="9.42578125" style="3" customWidth="1"/>
    <col min="4372" max="4372" width="9.85546875" style="3" customWidth="1"/>
    <col min="4373" max="4374" width="6.42578125" style="3" customWidth="1"/>
    <col min="4375" max="4375" width="8" style="3" customWidth="1"/>
    <col min="4376" max="4376" width="6.85546875" style="3" customWidth="1"/>
    <col min="4377" max="4608" width="8.42578125" style="3"/>
    <col min="4609" max="4609" width="17.85546875" style="3" customWidth="1"/>
    <col min="4610" max="4610" width="6.7109375" style="3" customWidth="1"/>
    <col min="4611" max="4611" width="7.42578125" style="3" customWidth="1"/>
    <col min="4612" max="4612" width="8.140625" style="3" customWidth="1"/>
    <col min="4613" max="4613" width="10" style="3" customWidth="1"/>
    <col min="4614" max="4614" width="8" style="3" customWidth="1"/>
    <col min="4615" max="4615" width="6.85546875" style="3" customWidth="1"/>
    <col min="4616" max="4616" width="7.42578125" style="3" customWidth="1"/>
    <col min="4617" max="4625" width="6.42578125" style="3" customWidth="1"/>
    <col min="4626" max="4627" width="9.42578125" style="3" customWidth="1"/>
    <col min="4628" max="4628" width="9.85546875" style="3" customWidth="1"/>
    <col min="4629" max="4630" width="6.42578125" style="3" customWidth="1"/>
    <col min="4631" max="4631" width="8" style="3" customWidth="1"/>
    <col min="4632" max="4632" width="6.85546875" style="3" customWidth="1"/>
    <col min="4633" max="4864" width="8.42578125" style="3"/>
    <col min="4865" max="4865" width="17.85546875" style="3" customWidth="1"/>
    <col min="4866" max="4866" width="6.7109375" style="3" customWidth="1"/>
    <col min="4867" max="4867" width="7.42578125" style="3" customWidth="1"/>
    <col min="4868" max="4868" width="8.140625" style="3" customWidth="1"/>
    <col min="4869" max="4869" width="10" style="3" customWidth="1"/>
    <col min="4870" max="4870" width="8" style="3" customWidth="1"/>
    <col min="4871" max="4871" width="6.85546875" style="3" customWidth="1"/>
    <col min="4872" max="4872" width="7.42578125" style="3" customWidth="1"/>
    <col min="4873" max="4881" width="6.42578125" style="3" customWidth="1"/>
    <col min="4882" max="4883" width="9.42578125" style="3" customWidth="1"/>
    <col min="4884" max="4884" width="9.85546875" style="3" customWidth="1"/>
    <col min="4885" max="4886" width="6.42578125" style="3" customWidth="1"/>
    <col min="4887" max="4887" width="8" style="3" customWidth="1"/>
    <col min="4888" max="4888" width="6.85546875" style="3" customWidth="1"/>
    <col min="4889" max="5120" width="8.42578125" style="3"/>
    <col min="5121" max="5121" width="17.85546875" style="3" customWidth="1"/>
    <col min="5122" max="5122" width="6.7109375" style="3" customWidth="1"/>
    <col min="5123" max="5123" width="7.42578125" style="3" customWidth="1"/>
    <col min="5124" max="5124" width="8.140625" style="3" customWidth="1"/>
    <col min="5125" max="5125" width="10" style="3" customWidth="1"/>
    <col min="5126" max="5126" width="8" style="3" customWidth="1"/>
    <col min="5127" max="5127" width="6.85546875" style="3" customWidth="1"/>
    <col min="5128" max="5128" width="7.42578125" style="3" customWidth="1"/>
    <col min="5129" max="5137" width="6.42578125" style="3" customWidth="1"/>
    <col min="5138" max="5139" width="9.42578125" style="3" customWidth="1"/>
    <col min="5140" max="5140" width="9.85546875" style="3" customWidth="1"/>
    <col min="5141" max="5142" width="6.42578125" style="3" customWidth="1"/>
    <col min="5143" max="5143" width="8" style="3" customWidth="1"/>
    <col min="5144" max="5144" width="6.85546875" style="3" customWidth="1"/>
    <col min="5145" max="5376" width="8.42578125" style="3"/>
    <col min="5377" max="5377" width="17.85546875" style="3" customWidth="1"/>
    <col min="5378" max="5378" width="6.7109375" style="3" customWidth="1"/>
    <col min="5379" max="5379" width="7.42578125" style="3" customWidth="1"/>
    <col min="5380" max="5380" width="8.140625" style="3" customWidth="1"/>
    <col min="5381" max="5381" width="10" style="3" customWidth="1"/>
    <col min="5382" max="5382" width="8" style="3" customWidth="1"/>
    <col min="5383" max="5383" width="6.85546875" style="3" customWidth="1"/>
    <col min="5384" max="5384" width="7.42578125" style="3" customWidth="1"/>
    <col min="5385" max="5393" width="6.42578125" style="3" customWidth="1"/>
    <col min="5394" max="5395" width="9.42578125" style="3" customWidth="1"/>
    <col min="5396" max="5396" width="9.85546875" style="3" customWidth="1"/>
    <col min="5397" max="5398" width="6.42578125" style="3" customWidth="1"/>
    <col min="5399" max="5399" width="8" style="3" customWidth="1"/>
    <col min="5400" max="5400" width="6.85546875" style="3" customWidth="1"/>
    <col min="5401" max="5632" width="8.42578125" style="3"/>
    <col min="5633" max="5633" width="17.85546875" style="3" customWidth="1"/>
    <col min="5634" max="5634" width="6.7109375" style="3" customWidth="1"/>
    <col min="5635" max="5635" width="7.42578125" style="3" customWidth="1"/>
    <col min="5636" max="5636" width="8.140625" style="3" customWidth="1"/>
    <col min="5637" max="5637" width="10" style="3" customWidth="1"/>
    <col min="5638" max="5638" width="8" style="3" customWidth="1"/>
    <col min="5639" max="5639" width="6.85546875" style="3" customWidth="1"/>
    <col min="5640" max="5640" width="7.42578125" style="3" customWidth="1"/>
    <col min="5641" max="5649" width="6.42578125" style="3" customWidth="1"/>
    <col min="5650" max="5651" width="9.42578125" style="3" customWidth="1"/>
    <col min="5652" max="5652" width="9.85546875" style="3" customWidth="1"/>
    <col min="5653" max="5654" width="6.42578125" style="3" customWidth="1"/>
    <col min="5655" max="5655" width="8" style="3" customWidth="1"/>
    <col min="5656" max="5656" width="6.85546875" style="3" customWidth="1"/>
    <col min="5657" max="5888" width="8.42578125" style="3"/>
    <col min="5889" max="5889" width="17.85546875" style="3" customWidth="1"/>
    <col min="5890" max="5890" width="6.7109375" style="3" customWidth="1"/>
    <col min="5891" max="5891" width="7.42578125" style="3" customWidth="1"/>
    <col min="5892" max="5892" width="8.140625" style="3" customWidth="1"/>
    <col min="5893" max="5893" width="10" style="3" customWidth="1"/>
    <col min="5894" max="5894" width="8" style="3" customWidth="1"/>
    <col min="5895" max="5895" width="6.85546875" style="3" customWidth="1"/>
    <col min="5896" max="5896" width="7.42578125" style="3" customWidth="1"/>
    <col min="5897" max="5905" width="6.42578125" style="3" customWidth="1"/>
    <col min="5906" max="5907" width="9.42578125" style="3" customWidth="1"/>
    <col min="5908" max="5908" width="9.85546875" style="3" customWidth="1"/>
    <col min="5909" max="5910" width="6.42578125" style="3" customWidth="1"/>
    <col min="5911" max="5911" width="8" style="3" customWidth="1"/>
    <col min="5912" max="5912" width="6.85546875" style="3" customWidth="1"/>
    <col min="5913" max="6144" width="8.42578125" style="3"/>
    <col min="6145" max="6145" width="17.85546875" style="3" customWidth="1"/>
    <col min="6146" max="6146" width="6.7109375" style="3" customWidth="1"/>
    <col min="6147" max="6147" width="7.42578125" style="3" customWidth="1"/>
    <col min="6148" max="6148" width="8.140625" style="3" customWidth="1"/>
    <col min="6149" max="6149" width="10" style="3" customWidth="1"/>
    <col min="6150" max="6150" width="8" style="3" customWidth="1"/>
    <col min="6151" max="6151" width="6.85546875" style="3" customWidth="1"/>
    <col min="6152" max="6152" width="7.42578125" style="3" customWidth="1"/>
    <col min="6153" max="6161" width="6.42578125" style="3" customWidth="1"/>
    <col min="6162" max="6163" width="9.42578125" style="3" customWidth="1"/>
    <col min="6164" max="6164" width="9.85546875" style="3" customWidth="1"/>
    <col min="6165" max="6166" width="6.42578125" style="3" customWidth="1"/>
    <col min="6167" max="6167" width="8" style="3" customWidth="1"/>
    <col min="6168" max="6168" width="6.85546875" style="3" customWidth="1"/>
    <col min="6169" max="6400" width="8.42578125" style="3"/>
    <col min="6401" max="6401" width="17.85546875" style="3" customWidth="1"/>
    <col min="6402" max="6402" width="6.7109375" style="3" customWidth="1"/>
    <col min="6403" max="6403" width="7.42578125" style="3" customWidth="1"/>
    <col min="6404" max="6404" width="8.140625" style="3" customWidth="1"/>
    <col min="6405" max="6405" width="10" style="3" customWidth="1"/>
    <col min="6406" max="6406" width="8" style="3" customWidth="1"/>
    <col min="6407" max="6407" width="6.85546875" style="3" customWidth="1"/>
    <col min="6408" max="6408" width="7.42578125" style="3" customWidth="1"/>
    <col min="6409" max="6417" width="6.42578125" style="3" customWidth="1"/>
    <col min="6418" max="6419" width="9.42578125" style="3" customWidth="1"/>
    <col min="6420" max="6420" width="9.85546875" style="3" customWidth="1"/>
    <col min="6421" max="6422" width="6.42578125" style="3" customWidth="1"/>
    <col min="6423" max="6423" width="8" style="3" customWidth="1"/>
    <col min="6424" max="6424" width="6.85546875" style="3" customWidth="1"/>
    <col min="6425" max="6656" width="8.42578125" style="3"/>
    <col min="6657" max="6657" width="17.85546875" style="3" customWidth="1"/>
    <col min="6658" max="6658" width="6.7109375" style="3" customWidth="1"/>
    <col min="6659" max="6659" width="7.42578125" style="3" customWidth="1"/>
    <col min="6660" max="6660" width="8.140625" style="3" customWidth="1"/>
    <col min="6661" max="6661" width="10" style="3" customWidth="1"/>
    <col min="6662" max="6662" width="8" style="3" customWidth="1"/>
    <col min="6663" max="6663" width="6.85546875" style="3" customWidth="1"/>
    <col min="6664" max="6664" width="7.42578125" style="3" customWidth="1"/>
    <col min="6665" max="6673" width="6.42578125" style="3" customWidth="1"/>
    <col min="6674" max="6675" width="9.42578125" style="3" customWidth="1"/>
    <col min="6676" max="6676" width="9.85546875" style="3" customWidth="1"/>
    <col min="6677" max="6678" width="6.42578125" style="3" customWidth="1"/>
    <col min="6679" max="6679" width="8" style="3" customWidth="1"/>
    <col min="6680" max="6680" width="6.85546875" style="3" customWidth="1"/>
    <col min="6681" max="6912" width="8.42578125" style="3"/>
    <col min="6913" max="6913" width="17.85546875" style="3" customWidth="1"/>
    <col min="6914" max="6914" width="6.7109375" style="3" customWidth="1"/>
    <col min="6915" max="6915" width="7.42578125" style="3" customWidth="1"/>
    <col min="6916" max="6916" width="8.140625" style="3" customWidth="1"/>
    <col min="6917" max="6917" width="10" style="3" customWidth="1"/>
    <col min="6918" max="6918" width="8" style="3" customWidth="1"/>
    <col min="6919" max="6919" width="6.85546875" style="3" customWidth="1"/>
    <col min="6920" max="6920" width="7.42578125" style="3" customWidth="1"/>
    <col min="6921" max="6929" width="6.42578125" style="3" customWidth="1"/>
    <col min="6930" max="6931" width="9.42578125" style="3" customWidth="1"/>
    <col min="6932" max="6932" width="9.85546875" style="3" customWidth="1"/>
    <col min="6933" max="6934" width="6.42578125" style="3" customWidth="1"/>
    <col min="6935" max="6935" width="8" style="3" customWidth="1"/>
    <col min="6936" max="6936" width="6.85546875" style="3" customWidth="1"/>
    <col min="6937" max="7168" width="8.42578125" style="3"/>
    <col min="7169" max="7169" width="17.85546875" style="3" customWidth="1"/>
    <col min="7170" max="7170" width="6.7109375" style="3" customWidth="1"/>
    <col min="7171" max="7171" width="7.42578125" style="3" customWidth="1"/>
    <col min="7172" max="7172" width="8.140625" style="3" customWidth="1"/>
    <col min="7173" max="7173" width="10" style="3" customWidth="1"/>
    <col min="7174" max="7174" width="8" style="3" customWidth="1"/>
    <col min="7175" max="7175" width="6.85546875" style="3" customWidth="1"/>
    <col min="7176" max="7176" width="7.42578125" style="3" customWidth="1"/>
    <col min="7177" max="7185" width="6.42578125" style="3" customWidth="1"/>
    <col min="7186" max="7187" width="9.42578125" style="3" customWidth="1"/>
    <col min="7188" max="7188" width="9.85546875" style="3" customWidth="1"/>
    <col min="7189" max="7190" width="6.42578125" style="3" customWidth="1"/>
    <col min="7191" max="7191" width="8" style="3" customWidth="1"/>
    <col min="7192" max="7192" width="6.85546875" style="3" customWidth="1"/>
    <col min="7193" max="7424" width="8.42578125" style="3"/>
    <col min="7425" max="7425" width="17.85546875" style="3" customWidth="1"/>
    <col min="7426" max="7426" width="6.7109375" style="3" customWidth="1"/>
    <col min="7427" max="7427" width="7.42578125" style="3" customWidth="1"/>
    <col min="7428" max="7428" width="8.140625" style="3" customWidth="1"/>
    <col min="7429" max="7429" width="10" style="3" customWidth="1"/>
    <col min="7430" max="7430" width="8" style="3" customWidth="1"/>
    <col min="7431" max="7431" width="6.85546875" style="3" customWidth="1"/>
    <col min="7432" max="7432" width="7.42578125" style="3" customWidth="1"/>
    <col min="7433" max="7441" width="6.42578125" style="3" customWidth="1"/>
    <col min="7442" max="7443" width="9.42578125" style="3" customWidth="1"/>
    <col min="7444" max="7444" width="9.85546875" style="3" customWidth="1"/>
    <col min="7445" max="7446" width="6.42578125" style="3" customWidth="1"/>
    <col min="7447" max="7447" width="8" style="3" customWidth="1"/>
    <col min="7448" max="7448" width="6.85546875" style="3" customWidth="1"/>
    <col min="7449" max="7680" width="8.42578125" style="3"/>
    <col min="7681" max="7681" width="17.85546875" style="3" customWidth="1"/>
    <col min="7682" max="7682" width="6.7109375" style="3" customWidth="1"/>
    <col min="7683" max="7683" width="7.42578125" style="3" customWidth="1"/>
    <col min="7684" max="7684" width="8.140625" style="3" customWidth="1"/>
    <col min="7685" max="7685" width="10" style="3" customWidth="1"/>
    <col min="7686" max="7686" width="8" style="3" customWidth="1"/>
    <col min="7687" max="7687" width="6.85546875" style="3" customWidth="1"/>
    <col min="7688" max="7688" width="7.42578125" style="3" customWidth="1"/>
    <col min="7689" max="7697" width="6.42578125" style="3" customWidth="1"/>
    <col min="7698" max="7699" width="9.42578125" style="3" customWidth="1"/>
    <col min="7700" max="7700" width="9.85546875" style="3" customWidth="1"/>
    <col min="7701" max="7702" width="6.42578125" style="3" customWidth="1"/>
    <col min="7703" max="7703" width="8" style="3" customWidth="1"/>
    <col min="7704" max="7704" width="6.85546875" style="3" customWidth="1"/>
    <col min="7705" max="7936" width="8.42578125" style="3"/>
    <col min="7937" max="7937" width="17.85546875" style="3" customWidth="1"/>
    <col min="7938" max="7938" width="6.7109375" style="3" customWidth="1"/>
    <col min="7939" max="7939" width="7.42578125" style="3" customWidth="1"/>
    <col min="7940" max="7940" width="8.140625" style="3" customWidth="1"/>
    <col min="7941" max="7941" width="10" style="3" customWidth="1"/>
    <col min="7942" max="7942" width="8" style="3" customWidth="1"/>
    <col min="7943" max="7943" width="6.85546875" style="3" customWidth="1"/>
    <col min="7944" max="7944" width="7.42578125" style="3" customWidth="1"/>
    <col min="7945" max="7953" width="6.42578125" style="3" customWidth="1"/>
    <col min="7954" max="7955" width="9.42578125" style="3" customWidth="1"/>
    <col min="7956" max="7956" width="9.85546875" style="3" customWidth="1"/>
    <col min="7957" max="7958" width="6.42578125" style="3" customWidth="1"/>
    <col min="7959" max="7959" width="8" style="3" customWidth="1"/>
    <col min="7960" max="7960" width="6.85546875" style="3" customWidth="1"/>
    <col min="7961" max="8192" width="8.42578125" style="3"/>
    <col min="8193" max="8193" width="17.85546875" style="3" customWidth="1"/>
    <col min="8194" max="8194" width="6.7109375" style="3" customWidth="1"/>
    <col min="8195" max="8195" width="7.42578125" style="3" customWidth="1"/>
    <col min="8196" max="8196" width="8.140625" style="3" customWidth="1"/>
    <col min="8197" max="8197" width="10" style="3" customWidth="1"/>
    <col min="8198" max="8198" width="8" style="3" customWidth="1"/>
    <col min="8199" max="8199" width="6.85546875" style="3" customWidth="1"/>
    <col min="8200" max="8200" width="7.42578125" style="3" customWidth="1"/>
    <col min="8201" max="8209" width="6.42578125" style="3" customWidth="1"/>
    <col min="8210" max="8211" width="9.42578125" style="3" customWidth="1"/>
    <col min="8212" max="8212" width="9.85546875" style="3" customWidth="1"/>
    <col min="8213" max="8214" width="6.42578125" style="3" customWidth="1"/>
    <col min="8215" max="8215" width="8" style="3" customWidth="1"/>
    <col min="8216" max="8216" width="6.85546875" style="3" customWidth="1"/>
    <col min="8217" max="8448" width="8.42578125" style="3"/>
    <col min="8449" max="8449" width="17.85546875" style="3" customWidth="1"/>
    <col min="8450" max="8450" width="6.7109375" style="3" customWidth="1"/>
    <col min="8451" max="8451" width="7.42578125" style="3" customWidth="1"/>
    <col min="8452" max="8452" width="8.140625" style="3" customWidth="1"/>
    <col min="8453" max="8453" width="10" style="3" customWidth="1"/>
    <col min="8454" max="8454" width="8" style="3" customWidth="1"/>
    <col min="8455" max="8455" width="6.85546875" style="3" customWidth="1"/>
    <col min="8456" max="8456" width="7.42578125" style="3" customWidth="1"/>
    <col min="8457" max="8465" width="6.42578125" style="3" customWidth="1"/>
    <col min="8466" max="8467" width="9.42578125" style="3" customWidth="1"/>
    <col min="8468" max="8468" width="9.85546875" style="3" customWidth="1"/>
    <col min="8469" max="8470" width="6.42578125" style="3" customWidth="1"/>
    <col min="8471" max="8471" width="8" style="3" customWidth="1"/>
    <col min="8472" max="8472" width="6.85546875" style="3" customWidth="1"/>
    <col min="8473" max="8704" width="8.42578125" style="3"/>
    <col min="8705" max="8705" width="17.85546875" style="3" customWidth="1"/>
    <col min="8706" max="8706" width="6.7109375" style="3" customWidth="1"/>
    <col min="8707" max="8707" width="7.42578125" style="3" customWidth="1"/>
    <col min="8708" max="8708" width="8.140625" style="3" customWidth="1"/>
    <col min="8709" max="8709" width="10" style="3" customWidth="1"/>
    <col min="8710" max="8710" width="8" style="3" customWidth="1"/>
    <col min="8711" max="8711" width="6.85546875" style="3" customWidth="1"/>
    <col min="8712" max="8712" width="7.42578125" style="3" customWidth="1"/>
    <col min="8713" max="8721" width="6.42578125" style="3" customWidth="1"/>
    <col min="8722" max="8723" width="9.42578125" style="3" customWidth="1"/>
    <col min="8724" max="8724" width="9.85546875" style="3" customWidth="1"/>
    <col min="8725" max="8726" width="6.42578125" style="3" customWidth="1"/>
    <col min="8727" max="8727" width="8" style="3" customWidth="1"/>
    <col min="8728" max="8728" width="6.85546875" style="3" customWidth="1"/>
    <col min="8729" max="8960" width="8.42578125" style="3"/>
    <col min="8961" max="8961" width="17.85546875" style="3" customWidth="1"/>
    <col min="8962" max="8962" width="6.7109375" style="3" customWidth="1"/>
    <col min="8963" max="8963" width="7.42578125" style="3" customWidth="1"/>
    <col min="8964" max="8964" width="8.140625" style="3" customWidth="1"/>
    <col min="8965" max="8965" width="10" style="3" customWidth="1"/>
    <col min="8966" max="8966" width="8" style="3" customWidth="1"/>
    <col min="8967" max="8967" width="6.85546875" style="3" customWidth="1"/>
    <col min="8968" max="8968" width="7.42578125" style="3" customWidth="1"/>
    <col min="8969" max="8977" width="6.42578125" style="3" customWidth="1"/>
    <col min="8978" max="8979" width="9.42578125" style="3" customWidth="1"/>
    <col min="8980" max="8980" width="9.85546875" style="3" customWidth="1"/>
    <col min="8981" max="8982" width="6.42578125" style="3" customWidth="1"/>
    <col min="8983" max="8983" width="8" style="3" customWidth="1"/>
    <col min="8984" max="8984" width="6.85546875" style="3" customWidth="1"/>
    <col min="8985" max="9216" width="8.42578125" style="3"/>
    <col min="9217" max="9217" width="17.85546875" style="3" customWidth="1"/>
    <col min="9218" max="9218" width="6.7109375" style="3" customWidth="1"/>
    <col min="9219" max="9219" width="7.42578125" style="3" customWidth="1"/>
    <col min="9220" max="9220" width="8.140625" style="3" customWidth="1"/>
    <col min="9221" max="9221" width="10" style="3" customWidth="1"/>
    <col min="9222" max="9222" width="8" style="3" customWidth="1"/>
    <col min="9223" max="9223" width="6.85546875" style="3" customWidth="1"/>
    <col min="9224" max="9224" width="7.42578125" style="3" customWidth="1"/>
    <col min="9225" max="9233" width="6.42578125" style="3" customWidth="1"/>
    <col min="9234" max="9235" width="9.42578125" style="3" customWidth="1"/>
    <col min="9236" max="9236" width="9.85546875" style="3" customWidth="1"/>
    <col min="9237" max="9238" width="6.42578125" style="3" customWidth="1"/>
    <col min="9239" max="9239" width="8" style="3" customWidth="1"/>
    <col min="9240" max="9240" width="6.85546875" style="3" customWidth="1"/>
    <col min="9241" max="9472" width="8.42578125" style="3"/>
    <col min="9473" max="9473" width="17.85546875" style="3" customWidth="1"/>
    <col min="9474" max="9474" width="6.7109375" style="3" customWidth="1"/>
    <col min="9475" max="9475" width="7.42578125" style="3" customWidth="1"/>
    <col min="9476" max="9476" width="8.140625" style="3" customWidth="1"/>
    <col min="9477" max="9477" width="10" style="3" customWidth="1"/>
    <col min="9478" max="9478" width="8" style="3" customWidth="1"/>
    <col min="9479" max="9479" width="6.85546875" style="3" customWidth="1"/>
    <col min="9480" max="9480" width="7.42578125" style="3" customWidth="1"/>
    <col min="9481" max="9489" width="6.42578125" style="3" customWidth="1"/>
    <col min="9490" max="9491" width="9.42578125" style="3" customWidth="1"/>
    <col min="9492" max="9492" width="9.85546875" style="3" customWidth="1"/>
    <col min="9493" max="9494" width="6.42578125" style="3" customWidth="1"/>
    <col min="9495" max="9495" width="8" style="3" customWidth="1"/>
    <col min="9496" max="9496" width="6.85546875" style="3" customWidth="1"/>
    <col min="9497" max="9728" width="8.42578125" style="3"/>
    <col min="9729" max="9729" width="17.85546875" style="3" customWidth="1"/>
    <col min="9730" max="9730" width="6.7109375" style="3" customWidth="1"/>
    <col min="9731" max="9731" width="7.42578125" style="3" customWidth="1"/>
    <col min="9732" max="9732" width="8.140625" style="3" customWidth="1"/>
    <col min="9733" max="9733" width="10" style="3" customWidth="1"/>
    <col min="9734" max="9734" width="8" style="3" customWidth="1"/>
    <col min="9735" max="9735" width="6.85546875" style="3" customWidth="1"/>
    <col min="9736" max="9736" width="7.42578125" style="3" customWidth="1"/>
    <col min="9737" max="9745" width="6.42578125" style="3" customWidth="1"/>
    <col min="9746" max="9747" width="9.42578125" style="3" customWidth="1"/>
    <col min="9748" max="9748" width="9.85546875" style="3" customWidth="1"/>
    <col min="9749" max="9750" width="6.42578125" style="3" customWidth="1"/>
    <col min="9751" max="9751" width="8" style="3" customWidth="1"/>
    <col min="9752" max="9752" width="6.85546875" style="3" customWidth="1"/>
    <col min="9753" max="9984" width="8.42578125" style="3"/>
    <col min="9985" max="9985" width="17.85546875" style="3" customWidth="1"/>
    <col min="9986" max="9986" width="6.7109375" style="3" customWidth="1"/>
    <col min="9987" max="9987" width="7.42578125" style="3" customWidth="1"/>
    <col min="9988" max="9988" width="8.140625" style="3" customWidth="1"/>
    <col min="9989" max="9989" width="10" style="3" customWidth="1"/>
    <col min="9990" max="9990" width="8" style="3" customWidth="1"/>
    <col min="9991" max="9991" width="6.85546875" style="3" customWidth="1"/>
    <col min="9992" max="9992" width="7.42578125" style="3" customWidth="1"/>
    <col min="9993" max="10001" width="6.42578125" style="3" customWidth="1"/>
    <col min="10002" max="10003" width="9.42578125" style="3" customWidth="1"/>
    <col min="10004" max="10004" width="9.85546875" style="3" customWidth="1"/>
    <col min="10005" max="10006" width="6.42578125" style="3" customWidth="1"/>
    <col min="10007" max="10007" width="8" style="3" customWidth="1"/>
    <col min="10008" max="10008" width="6.85546875" style="3" customWidth="1"/>
    <col min="10009" max="10240" width="8.42578125" style="3"/>
    <col min="10241" max="10241" width="17.85546875" style="3" customWidth="1"/>
    <col min="10242" max="10242" width="6.7109375" style="3" customWidth="1"/>
    <col min="10243" max="10243" width="7.42578125" style="3" customWidth="1"/>
    <col min="10244" max="10244" width="8.140625" style="3" customWidth="1"/>
    <col min="10245" max="10245" width="10" style="3" customWidth="1"/>
    <col min="10246" max="10246" width="8" style="3" customWidth="1"/>
    <col min="10247" max="10247" width="6.85546875" style="3" customWidth="1"/>
    <col min="10248" max="10248" width="7.42578125" style="3" customWidth="1"/>
    <col min="10249" max="10257" width="6.42578125" style="3" customWidth="1"/>
    <col min="10258" max="10259" width="9.42578125" style="3" customWidth="1"/>
    <col min="10260" max="10260" width="9.85546875" style="3" customWidth="1"/>
    <col min="10261" max="10262" width="6.42578125" style="3" customWidth="1"/>
    <col min="10263" max="10263" width="8" style="3" customWidth="1"/>
    <col min="10264" max="10264" width="6.85546875" style="3" customWidth="1"/>
    <col min="10265" max="10496" width="8.42578125" style="3"/>
    <col min="10497" max="10497" width="17.85546875" style="3" customWidth="1"/>
    <col min="10498" max="10498" width="6.7109375" style="3" customWidth="1"/>
    <col min="10499" max="10499" width="7.42578125" style="3" customWidth="1"/>
    <col min="10500" max="10500" width="8.140625" style="3" customWidth="1"/>
    <col min="10501" max="10501" width="10" style="3" customWidth="1"/>
    <col min="10502" max="10502" width="8" style="3" customWidth="1"/>
    <col min="10503" max="10503" width="6.85546875" style="3" customWidth="1"/>
    <col min="10504" max="10504" width="7.42578125" style="3" customWidth="1"/>
    <col min="10505" max="10513" width="6.42578125" style="3" customWidth="1"/>
    <col min="10514" max="10515" width="9.42578125" style="3" customWidth="1"/>
    <col min="10516" max="10516" width="9.85546875" style="3" customWidth="1"/>
    <col min="10517" max="10518" width="6.42578125" style="3" customWidth="1"/>
    <col min="10519" max="10519" width="8" style="3" customWidth="1"/>
    <col min="10520" max="10520" width="6.85546875" style="3" customWidth="1"/>
    <col min="10521" max="10752" width="8.42578125" style="3"/>
    <col min="10753" max="10753" width="17.85546875" style="3" customWidth="1"/>
    <col min="10754" max="10754" width="6.7109375" style="3" customWidth="1"/>
    <col min="10755" max="10755" width="7.42578125" style="3" customWidth="1"/>
    <col min="10756" max="10756" width="8.140625" style="3" customWidth="1"/>
    <col min="10757" max="10757" width="10" style="3" customWidth="1"/>
    <col min="10758" max="10758" width="8" style="3" customWidth="1"/>
    <col min="10759" max="10759" width="6.85546875" style="3" customWidth="1"/>
    <col min="10760" max="10760" width="7.42578125" style="3" customWidth="1"/>
    <col min="10761" max="10769" width="6.42578125" style="3" customWidth="1"/>
    <col min="10770" max="10771" width="9.42578125" style="3" customWidth="1"/>
    <col min="10772" max="10772" width="9.85546875" style="3" customWidth="1"/>
    <col min="10773" max="10774" width="6.42578125" style="3" customWidth="1"/>
    <col min="10775" max="10775" width="8" style="3" customWidth="1"/>
    <col min="10776" max="10776" width="6.85546875" style="3" customWidth="1"/>
    <col min="10777" max="11008" width="8.42578125" style="3"/>
    <col min="11009" max="11009" width="17.85546875" style="3" customWidth="1"/>
    <col min="11010" max="11010" width="6.7109375" style="3" customWidth="1"/>
    <col min="11011" max="11011" width="7.42578125" style="3" customWidth="1"/>
    <col min="11012" max="11012" width="8.140625" style="3" customWidth="1"/>
    <col min="11013" max="11013" width="10" style="3" customWidth="1"/>
    <col min="11014" max="11014" width="8" style="3" customWidth="1"/>
    <col min="11015" max="11015" width="6.85546875" style="3" customWidth="1"/>
    <col min="11016" max="11016" width="7.42578125" style="3" customWidth="1"/>
    <col min="11017" max="11025" width="6.42578125" style="3" customWidth="1"/>
    <col min="11026" max="11027" width="9.42578125" style="3" customWidth="1"/>
    <col min="11028" max="11028" width="9.85546875" style="3" customWidth="1"/>
    <col min="11029" max="11030" width="6.42578125" style="3" customWidth="1"/>
    <col min="11031" max="11031" width="8" style="3" customWidth="1"/>
    <col min="11032" max="11032" width="6.85546875" style="3" customWidth="1"/>
    <col min="11033" max="11264" width="8.42578125" style="3"/>
    <col min="11265" max="11265" width="17.85546875" style="3" customWidth="1"/>
    <col min="11266" max="11266" width="6.7109375" style="3" customWidth="1"/>
    <col min="11267" max="11267" width="7.42578125" style="3" customWidth="1"/>
    <col min="11268" max="11268" width="8.140625" style="3" customWidth="1"/>
    <col min="11269" max="11269" width="10" style="3" customWidth="1"/>
    <col min="11270" max="11270" width="8" style="3" customWidth="1"/>
    <col min="11271" max="11271" width="6.85546875" style="3" customWidth="1"/>
    <col min="11272" max="11272" width="7.42578125" style="3" customWidth="1"/>
    <col min="11273" max="11281" width="6.42578125" style="3" customWidth="1"/>
    <col min="11282" max="11283" width="9.42578125" style="3" customWidth="1"/>
    <col min="11284" max="11284" width="9.85546875" style="3" customWidth="1"/>
    <col min="11285" max="11286" width="6.42578125" style="3" customWidth="1"/>
    <col min="11287" max="11287" width="8" style="3" customWidth="1"/>
    <col min="11288" max="11288" width="6.85546875" style="3" customWidth="1"/>
    <col min="11289" max="11520" width="8.42578125" style="3"/>
    <col min="11521" max="11521" width="17.85546875" style="3" customWidth="1"/>
    <col min="11522" max="11522" width="6.7109375" style="3" customWidth="1"/>
    <col min="11523" max="11523" width="7.42578125" style="3" customWidth="1"/>
    <col min="11524" max="11524" width="8.140625" style="3" customWidth="1"/>
    <col min="11525" max="11525" width="10" style="3" customWidth="1"/>
    <col min="11526" max="11526" width="8" style="3" customWidth="1"/>
    <col min="11527" max="11527" width="6.85546875" style="3" customWidth="1"/>
    <col min="11528" max="11528" width="7.42578125" style="3" customWidth="1"/>
    <col min="11529" max="11537" width="6.42578125" style="3" customWidth="1"/>
    <col min="11538" max="11539" width="9.42578125" style="3" customWidth="1"/>
    <col min="11540" max="11540" width="9.85546875" style="3" customWidth="1"/>
    <col min="11541" max="11542" width="6.42578125" style="3" customWidth="1"/>
    <col min="11543" max="11543" width="8" style="3" customWidth="1"/>
    <col min="11544" max="11544" width="6.85546875" style="3" customWidth="1"/>
    <col min="11545" max="11776" width="8.42578125" style="3"/>
    <col min="11777" max="11777" width="17.85546875" style="3" customWidth="1"/>
    <col min="11778" max="11778" width="6.7109375" style="3" customWidth="1"/>
    <col min="11779" max="11779" width="7.42578125" style="3" customWidth="1"/>
    <col min="11780" max="11780" width="8.140625" style="3" customWidth="1"/>
    <col min="11781" max="11781" width="10" style="3" customWidth="1"/>
    <col min="11782" max="11782" width="8" style="3" customWidth="1"/>
    <col min="11783" max="11783" width="6.85546875" style="3" customWidth="1"/>
    <col min="11784" max="11784" width="7.42578125" style="3" customWidth="1"/>
    <col min="11785" max="11793" width="6.42578125" style="3" customWidth="1"/>
    <col min="11794" max="11795" width="9.42578125" style="3" customWidth="1"/>
    <col min="11796" max="11796" width="9.85546875" style="3" customWidth="1"/>
    <col min="11797" max="11798" width="6.42578125" style="3" customWidth="1"/>
    <col min="11799" max="11799" width="8" style="3" customWidth="1"/>
    <col min="11800" max="11800" width="6.85546875" style="3" customWidth="1"/>
    <col min="11801" max="12032" width="8.42578125" style="3"/>
    <col min="12033" max="12033" width="17.85546875" style="3" customWidth="1"/>
    <col min="12034" max="12034" width="6.7109375" style="3" customWidth="1"/>
    <col min="12035" max="12035" width="7.42578125" style="3" customWidth="1"/>
    <col min="12036" max="12036" width="8.140625" style="3" customWidth="1"/>
    <col min="12037" max="12037" width="10" style="3" customWidth="1"/>
    <col min="12038" max="12038" width="8" style="3" customWidth="1"/>
    <col min="12039" max="12039" width="6.85546875" style="3" customWidth="1"/>
    <col min="12040" max="12040" width="7.42578125" style="3" customWidth="1"/>
    <col min="12041" max="12049" width="6.42578125" style="3" customWidth="1"/>
    <col min="12050" max="12051" width="9.42578125" style="3" customWidth="1"/>
    <col min="12052" max="12052" width="9.85546875" style="3" customWidth="1"/>
    <col min="12053" max="12054" width="6.42578125" style="3" customWidth="1"/>
    <col min="12055" max="12055" width="8" style="3" customWidth="1"/>
    <col min="12056" max="12056" width="6.85546875" style="3" customWidth="1"/>
    <col min="12057" max="12288" width="8.42578125" style="3"/>
    <col min="12289" max="12289" width="17.85546875" style="3" customWidth="1"/>
    <col min="12290" max="12290" width="6.7109375" style="3" customWidth="1"/>
    <col min="12291" max="12291" width="7.42578125" style="3" customWidth="1"/>
    <col min="12292" max="12292" width="8.140625" style="3" customWidth="1"/>
    <col min="12293" max="12293" width="10" style="3" customWidth="1"/>
    <col min="12294" max="12294" width="8" style="3" customWidth="1"/>
    <col min="12295" max="12295" width="6.85546875" style="3" customWidth="1"/>
    <col min="12296" max="12296" width="7.42578125" style="3" customWidth="1"/>
    <col min="12297" max="12305" width="6.42578125" style="3" customWidth="1"/>
    <col min="12306" max="12307" width="9.42578125" style="3" customWidth="1"/>
    <col min="12308" max="12308" width="9.85546875" style="3" customWidth="1"/>
    <col min="12309" max="12310" width="6.42578125" style="3" customWidth="1"/>
    <col min="12311" max="12311" width="8" style="3" customWidth="1"/>
    <col min="12312" max="12312" width="6.85546875" style="3" customWidth="1"/>
    <col min="12313" max="12544" width="8.42578125" style="3"/>
    <col min="12545" max="12545" width="17.85546875" style="3" customWidth="1"/>
    <col min="12546" max="12546" width="6.7109375" style="3" customWidth="1"/>
    <col min="12547" max="12547" width="7.42578125" style="3" customWidth="1"/>
    <col min="12548" max="12548" width="8.140625" style="3" customWidth="1"/>
    <col min="12549" max="12549" width="10" style="3" customWidth="1"/>
    <col min="12550" max="12550" width="8" style="3" customWidth="1"/>
    <col min="12551" max="12551" width="6.85546875" style="3" customWidth="1"/>
    <col min="12552" max="12552" width="7.42578125" style="3" customWidth="1"/>
    <col min="12553" max="12561" width="6.42578125" style="3" customWidth="1"/>
    <col min="12562" max="12563" width="9.42578125" style="3" customWidth="1"/>
    <col min="12564" max="12564" width="9.85546875" style="3" customWidth="1"/>
    <col min="12565" max="12566" width="6.42578125" style="3" customWidth="1"/>
    <col min="12567" max="12567" width="8" style="3" customWidth="1"/>
    <col min="12568" max="12568" width="6.85546875" style="3" customWidth="1"/>
    <col min="12569" max="12800" width="8.42578125" style="3"/>
    <col min="12801" max="12801" width="17.85546875" style="3" customWidth="1"/>
    <col min="12802" max="12802" width="6.7109375" style="3" customWidth="1"/>
    <col min="12803" max="12803" width="7.42578125" style="3" customWidth="1"/>
    <col min="12804" max="12804" width="8.140625" style="3" customWidth="1"/>
    <col min="12805" max="12805" width="10" style="3" customWidth="1"/>
    <col min="12806" max="12806" width="8" style="3" customWidth="1"/>
    <col min="12807" max="12807" width="6.85546875" style="3" customWidth="1"/>
    <col min="12808" max="12808" width="7.42578125" style="3" customWidth="1"/>
    <col min="12809" max="12817" width="6.42578125" style="3" customWidth="1"/>
    <col min="12818" max="12819" width="9.42578125" style="3" customWidth="1"/>
    <col min="12820" max="12820" width="9.85546875" style="3" customWidth="1"/>
    <col min="12821" max="12822" width="6.42578125" style="3" customWidth="1"/>
    <col min="12823" max="12823" width="8" style="3" customWidth="1"/>
    <col min="12824" max="12824" width="6.85546875" style="3" customWidth="1"/>
    <col min="12825" max="13056" width="8.42578125" style="3"/>
    <col min="13057" max="13057" width="17.85546875" style="3" customWidth="1"/>
    <col min="13058" max="13058" width="6.7109375" style="3" customWidth="1"/>
    <col min="13059" max="13059" width="7.42578125" style="3" customWidth="1"/>
    <col min="13060" max="13060" width="8.140625" style="3" customWidth="1"/>
    <col min="13061" max="13061" width="10" style="3" customWidth="1"/>
    <col min="13062" max="13062" width="8" style="3" customWidth="1"/>
    <col min="13063" max="13063" width="6.85546875" style="3" customWidth="1"/>
    <col min="13064" max="13064" width="7.42578125" style="3" customWidth="1"/>
    <col min="13065" max="13073" width="6.42578125" style="3" customWidth="1"/>
    <col min="13074" max="13075" width="9.42578125" style="3" customWidth="1"/>
    <col min="13076" max="13076" width="9.85546875" style="3" customWidth="1"/>
    <col min="13077" max="13078" width="6.42578125" style="3" customWidth="1"/>
    <col min="13079" max="13079" width="8" style="3" customWidth="1"/>
    <col min="13080" max="13080" width="6.85546875" style="3" customWidth="1"/>
    <col min="13081" max="13312" width="8.42578125" style="3"/>
    <col min="13313" max="13313" width="17.85546875" style="3" customWidth="1"/>
    <col min="13314" max="13314" width="6.7109375" style="3" customWidth="1"/>
    <col min="13315" max="13315" width="7.42578125" style="3" customWidth="1"/>
    <col min="13316" max="13316" width="8.140625" style="3" customWidth="1"/>
    <col min="13317" max="13317" width="10" style="3" customWidth="1"/>
    <col min="13318" max="13318" width="8" style="3" customWidth="1"/>
    <col min="13319" max="13319" width="6.85546875" style="3" customWidth="1"/>
    <col min="13320" max="13320" width="7.42578125" style="3" customWidth="1"/>
    <col min="13321" max="13329" width="6.42578125" style="3" customWidth="1"/>
    <col min="13330" max="13331" width="9.42578125" style="3" customWidth="1"/>
    <col min="13332" max="13332" width="9.85546875" style="3" customWidth="1"/>
    <col min="13333" max="13334" width="6.42578125" style="3" customWidth="1"/>
    <col min="13335" max="13335" width="8" style="3" customWidth="1"/>
    <col min="13336" max="13336" width="6.85546875" style="3" customWidth="1"/>
    <col min="13337" max="13568" width="8.42578125" style="3"/>
    <col min="13569" max="13569" width="17.85546875" style="3" customWidth="1"/>
    <col min="13570" max="13570" width="6.7109375" style="3" customWidth="1"/>
    <col min="13571" max="13571" width="7.42578125" style="3" customWidth="1"/>
    <col min="13572" max="13572" width="8.140625" style="3" customWidth="1"/>
    <col min="13573" max="13573" width="10" style="3" customWidth="1"/>
    <col min="13574" max="13574" width="8" style="3" customWidth="1"/>
    <col min="13575" max="13575" width="6.85546875" style="3" customWidth="1"/>
    <col min="13576" max="13576" width="7.42578125" style="3" customWidth="1"/>
    <col min="13577" max="13585" width="6.42578125" style="3" customWidth="1"/>
    <col min="13586" max="13587" width="9.42578125" style="3" customWidth="1"/>
    <col min="13588" max="13588" width="9.85546875" style="3" customWidth="1"/>
    <col min="13589" max="13590" width="6.42578125" style="3" customWidth="1"/>
    <col min="13591" max="13591" width="8" style="3" customWidth="1"/>
    <col min="13592" max="13592" width="6.85546875" style="3" customWidth="1"/>
    <col min="13593" max="13824" width="8.42578125" style="3"/>
    <col min="13825" max="13825" width="17.85546875" style="3" customWidth="1"/>
    <col min="13826" max="13826" width="6.7109375" style="3" customWidth="1"/>
    <col min="13827" max="13827" width="7.42578125" style="3" customWidth="1"/>
    <col min="13828" max="13828" width="8.140625" style="3" customWidth="1"/>
    <col min="13829" max="13829" width="10" style="3" customWidth="1"/>
    <col min="13830" max="13830" width="8" style="3" customWidth="1"/>
    <col min="13831" max="13831" width="6.85546875" style="3" customWidth="1"/>
    <col min="13832" max="13832" width="7.42578125" style="3" customWidth="1"/>
    <col min="13833" max="13841" width="6.42578125" style="3" customWidth="1"/>
    <col min="13842" max="13843" width="9.42578125" style="3" customWidth="1"/>
    <col min="13844" max="13844" width="9.85546875" style="3" customWidth="1"/>
    <col min="13845" max="13846" width="6.42578125" style="3" customWidth="1"/>
    <col min="13847" max="13847" width="8" style="3" customWidth="1"/>
    <col min="13848" max="13848" width="6.85546875" style="3" customWidth="1"/>
    <col min="13849" max="14080" width="8.42578125" style="3"/>
    <col min="14081" max="14081" width="17.85546875" style="3" customWidth="1"/>
    <col min="14082" max="14082" width="6.7109375" style="3" customWidth="1"/>
    <col min="14083" max="14083" width="7.42578125" style="3" customWidth="1"/>
    <col min="14084" max="14084" width="8.140625" style="3" customWidth="1"/>
    <col min="14085" max="14085" width="10" style="3" customWidth="1"/>
    <col min="14086" max="14086" width="8" style="3" customWidth="1"/>
    <col min="14087" max="14087" width="6.85546875" style="3" customWidth="1"/>
    <col min="14088" max="14088" width="7.42578125" style="3" customWidth="1"/>
    <col min="14089" max="14097" width="6.42578125" style="3" customWidth="1"/>
    <col min="14098" max="14099" width="9.42578125" style="3" customWidth="1"/>
    <col min="14100" max="14100" width="9.85546875" style="3" customWidth="1"/>
    <col min="14101" max="14102" width="6.42578125" style="3" customWidth="1"/>
    <col min="14103" max="14103" width="8" style="3" customWidth="1"/>
    <col min="14104" max="14104" width="6.85546875" style="3" customWidth="1"/>
    <col min="14105" max="14336" width="8.42578125" style="3"/>
    <col min="14337" max="14337" width="17.85546875" style="3" customWidth="1"/>
    <col min="14338" max="14338" width="6.7109375" style="3" customWidth="1"/>
    <col min="14339" max="14339" width="7.42578125" style="3" customWidth="1"/>
    <col min="14340" max="14340" width="8.140625" style="3" customWidth="1"/>
    <col min="14341" max="14341" width="10" style="3" customWidth="1"/>
    <col min="14342" max="14342" width="8" style="3" customWidth="1"/>
    <col min="14343" max="14343" width="6.85546875" style="3" customWidth="1"/>
    <col min="14344" max="14344" width="7.42578125" style="3" customWidth="1"/>
    <col min="14345" max="14353" width="6.42578125" style="3" customWidth="1"/>
    <col min="14354" max="14355" width="9.42578125" style="3" customWidth="1"/>
    <col min="14356" max="14356" width="9.85546875" style="3" customWidth="1"/>
    <col min="14357" max="14358" width="6.42578125" style="3" customWidth="1"/>
    <col min="14359" max="14359" width="8" style="3" customWidth="1"/>
    <col min="14360" max="14360" width="6.85546875" style="3" customWidth="1"/>
    <col min="14361" max="14592" width="8.42578125" style="3"/>
    <col min="14593" max="14593" width="17.85546875" style="3" customWidth="1"/>
    <col min="14594" max="14594" width="6.7109375" style="3" customWidth="1"/>
    <col min="14595" max="14595" width="7.42578125" style="3" customWidth="1"/>
    <col min="14596" max="14596" width="8.140625" style="3" customWidth="1"/>
    <col min="14597" max="14597" width="10" style="3" customWidth="1"/>
    <col min="14598" max="14598" width="8" style="3" customWidth="1"/>
    <col min="14599" max="14599" width="6.85546875" style="3" customWidth="1"/>
    <col min="14600" max="14600" width="7.42578125" style="3" customWidth="1"/>
    <col min="14601" max="14609" width="6.42578125" style="3" customWidth="1"/>
    <col min="14610" max="14611" width="9.42578125" style="3" customWidth="1"/>
    <col min="14612" max="14612" width="9.85546875" style="3" customWidth="1"/>
    <col min="14613" max="14614" width="6.42578125" style="3" customWidth="1"/>
    <col min="14615" max="14615" width="8" style="3" customWidth="1"/>
    <col min="14616" max="14616" width="6.85546875" style="3" customWidth="1"/>
    <col min="14617" max="14848" width="8.42578125" style="3"/>
    <col min="14849" max="14849" width="17.85546875" style="3" customWidth="1"/>
    <col min="14850" max="14850" width="6.7109375" style="3" customWidth="1"/>
    <col min="14851" max="14851" width="7.42578125" style="3" customWidth="1"/>
    <col min="14852" max="14852" width="8.140625" style="3" customWidth="1"/>
    <col min="14853" max="14853" width="10" style="3" customWidth="1"/>
    <col min="14854" max="14854" width="8" style="3" customWidth="1"/>
    <col min="14855" max="14855" width="6.85546875" style="3" customWidth="1"/>
    <col min="14856" max="14856" width="7.42578125" style="3" customWidth="1"/>
    <col min="14857" max="14865" width="6.42578125" style="3" customWidth="1"/>
    <col min="14866" max="14867" width="9.42578125" style="3" customWidth="1"/>
    <col min="14868" max="14868" width="9.85546875" style="3" customWidth="1"/>
    <col min="14869" max="14870" width="6.42578125" style="3" customWidth="1"/>
    <col min="14871" max="14871" width="8" style="3" customWidth="1"/>
    <col min="14872" max="14872" width="6.85546875" style="3" customWidth="1"/>
    <col min="14873" max="15104" width="8.42578125" style="3"/>
    <col min="15105" max="15105" width="17.85546875" style="3" customWidth="1"/>
    <col min="15106" max="15106" width="6.7109375" style="3" customWidth="1"/>
    <col min="15107" max="15107" width="7.42578125" style="3" customWidth="1"/>
    <col min="15108" max="15108" width="8.140625" style="3" customWidth="1"/>
    <col min="15109" max="15109" width="10" style="3" customWidth="1"/>
    <col min="15110" max="15110" width="8" style="3" customWidth="1"/>
    <col min="15111" max="15111" width="6.85546875" style="3" customWidth="1"/>
    <col min="15112" max="15112" width="7.42578125" style="3" customWidth="1"/>
    <col min="15113" max="15121" width="6.42578125" style="3" customWidth="1"/>
    <col min="15122" max="15123" width="9.42578125" style="3" customWidth="1"/>
    <col min="15124" max="15124" width="9.85546875" style="3" customWidth="1"/>
    <col min="15125" max="15126" width="6.42578125" style="3" customWidth="1"/>
    <col min="15127" max="15127" width="8" style="3" customWidth="1"/>
    <col min="15128" max="15128" width="6.85546875" style="3" customWidth="1"/>
    <col min="15129" max="15360" width="8.42578125" style="3"/>
    <col min="15361" max="15361" width="17.85546875" style="3" customWidth="1"/>
    <col min="15362" max="15362" width="6.7109375" style="3" customWidth="1"/>
    <col min="15363" max="15363" width="7.42578125" style="3" customWidth="1"/>
    <col min="15364" max="15364" width="8.140625" style="3" customWidth="1"/>
    <col min="15365" max="15365" width="10" style="3" customWidth="1"/>
    <col min="15366" max="15366" width="8" style="3" customWidth="1"/>
    <col min="15367" max="15367" width="6.85546875" style="3" customWidth="1"/>
    <col min="15368" max="15368" width="7.42578125" style="3" customWidth="1"/>
    <col min="15369" max="15377" width="6.42578125" style="3" customWidth="1"/>
    <col min="15378" max="15379" width="9.42578125" style="3" customWidth="1"/>
    <col min="15380" max="15380" width="9.85546875" style="3" customWidth="1"/>
    <col min="15381" max="15382" width="6.42578125" style="3" customWidth="1"/>
    <col min="15383" max="15383" width="8" style="3" customWidth="1"/>
    <col min="15384" max="15384" width="6.85546875" style="3" customWidth="1"/>
    <col min="15385" max="15616" width="8.42578125" style="3"/>
    <col min="15617" max="15617" width="17.85546875" style="3" customWidth="1"/>
    <col min="15618" max="15618" width="6.7109375" style="3" customWidth="1"/>
    <col min="15619" max="15619" width="7.42578125" style="3" customWidth="1"/>
    <col min="15620" max="15620" width="8.140625" style="3" customWidth="1"/>
    <col min="15621" max="15621" width="10" style="3" customWidth="1"/>
    <col min="15622" max="15622" width="8" style="3" customWidth="1"/>
    <col min="15623" max="15623" width="6.85546875" style="3" customWidth="1"/>
    <col min="15624" max="15624" width="7.42578125" style="3" customWidth="1"/>
    <col min="15625" max="15633" width="6.42578125" style="3" customWidth="1"/>
    <col min="15634" max="15635" width="9.42578125" style="3" customWidth="1"/>
    <col min="15636" max="15636" width="9.85546875" style="3" customWidth="1"/>
    <col min="15637" max="15638" width="6.42578125" style="3" customWidth="1"/>
    <col min="15639" max="15639" width="8" style="3" customWidth="1"/>
    <col min="15640" max="15640" width="6.85546875" style="3" customWidth="1"/>
    <col min="15641" max="15872" width="8.42578125" style="3"/>
    <col min="15873" max="15873" width="17.85546875" style="3" customWidth="1"/>
    <col min="15874" max="15874" width="6.7109375" style="3" customWidth="1"/>
    <col min="15875" max="15875" width="7.42578125" style="3" customWidth="1"/>
    <col min="15876" max="15876" width="8.140625" style="3" customWidth="1"/>
    <col min="15877" max="15877" width="10" style="3" customWidth="1"/>
    <col min="15878" max="15878" width="8" style="3" customWidth="1"/>
    <col min="15879" max="15879" width="6.85546875" style="3" customWidth="1"/>
    <col min="15880" max="15880" width="7.42578125" style="3" customWidth="1"/>
    <col min="15881" max="15889" width="6.42578125" style="3" customWidth="1"/>
    <col min="15890" max="15891" width="9.42578125" style="3" customWidth="1"/>
    <col min="15892" max="15892" width="9.85546875" style="3" customWidth="1"/>
    <col min="15893" max="15894" width="6.42578125" style="3" customWidth="1"/>
    <col min="15895" max="15895" width="8" style="3" customWidth="1"/>
    <col min="15896" max="15896" width="6.85546875" style="3" customWidth="1"/>
    <col min="15897" max="16128" width="8.42578125" style="3"/>
    <col min="16129" max="16129" width="17.85546875" style="3" customWidth="1"/>
    <col min="16130" max="16130" width="6.7109375" style="3" customWidth="1"/>
    <col min="16131" max="16131" width="7.42578125" style="3" customWidth="1"/>
    <col min="16132" max="16132" width="8.140625" style="3" customWidth="1"/>
    <col min="16133" max="16133" width="10" style="3" customWidth="1"/>
    <col min="16134" max="16134" width="8" style="3" customWidth="1"/>
    <col min="16135" max="16135" width="6.85546875" style="3" customWidth="1"/>
    <col min="16136" max="16136" width="7.42578125" style="3" customWidth="1"/>
    <col min="16137" max="16145" width="6.42578125" style="3" customWidth="1"/>
    <col min="16146" max="16147" width="9.42578125" style="3" customWidth="1"/>
    <col min="16148" max="16148" width="9.85546875" style="3" customWidth="1"/>
    <col min="16149" max="16150" width="6.42578125" style="3" customWidth="1"/>
    <col min="16151" max="16151" width="8" style="3" customWidth="1"/>
    <col min="16152" max="16152" width="6.85546875" style="3" customWidth="1"/>
    <col min="16153" max="16384" width="8.42578125" style="3"/>
  </cols>
  <sheetData>
    <row r="1" spans="1:17" ht="15.6" x14ac:dyDescent="0.3">
      <c r="A1" s="2" t="s">
        <v>4</v>
      </c>
      <c r="B1" s="3"/>
      <c r="C1" s="3"/>
      <c r="D1" s="3"/>
    </row>
    <row r="2" spans="1:17" ht="16.5" thickBot="1" x14ac:dyDescent="0.3">
      <c r="A2" s="4" t="s">
        <v>66</v>
      </c>
      <c r="B2" s="3"/>
      <c r="C2" s="3"/>
      <c r="D2" s="3"/>
    </row>
    <row r="3" spans="1:17" ht="15.75" thickBot="1" x14ac:dyDescent="0.3">
      <c r="A3" s="147" t="s">
        <v>55</v>
      </c>
      <c r="B3" s="148"/>
      <c r="C3" s="148"/>
      <c r="D3" s="149"/>
      <c r="F3" s="153" t="s">
        <v>11</v>
      </c>
      <c r="G3" s="154"/>
      <c r="H3" s="154"/>
      <c r="I3" s="155"/>
      <c r="J3" s="5"/>
      <c r="K3" s="6"/>
    </row>
    <row r="4" spans="1:17" ht="15.75" thickBot="1" x14ac:dyDescent="0.3">
      <c r="A4" s="7" t="s">
        <v>5</v>
      </c>
      <c r="B4" s="8" t="s">
        <v>6</v>
      </c>
      <c r="C4" s="9">
        <v>1000</v>
      </c>
      <c r="D4" s="10" t="s">
        <v>7</v>
      </c>
      <c r="F4" s="11" t="s">
        <v>16</v>
      </c>
      <c r="G4" s="12" t="s">
        <v>17</v>
      </c>
      <c r="H4" s="11" t="s">
        <v>16</v>
      </c>
      <c r="I4" s="12" t="s">
        <v>18</v>
      </c>
      <c r="Q4" s="13"/>
    </row>
    <row r="5" spans="1:17" ht="15" customHeight="1" x14ac:dyDescent="0.25">
      <c r="A5" s="14" t="s">
        <v>12</v>
      </c>
      <c r="B5" s="15" t="s">
        <v>51</v>
      </c>
      <c r="C5" s="16">
        <v>27</v>
      </c>
      <c r="D5" s="17" t="s">
        <v>13</v>
      </c>
      <c r="F5" s="111">
        <v>3000</v>
      </c>
      <c r="G5" s="112">
        <f>(30.3+30.3+30.4+30.9)/4</f>
        <v>30.475000000000001</v>
      </c>
      <c r="H5" s="106">
        <v>3000</v>
      </c>
      <c r="I5" s="104">
        <f>(22.8+22.8+22.9+22.9)/4</f>
        <v>22.85</v>
      </c>
      <c r="Q5" s="13"/>
    </row>
    <row r="6" spans="1:17" x14ac:dyDescent="0.25">
      <c r="A6" s="20" t="s">
        <v>21</v>
      </c>
      <c r="B6" s="15" t="s">
        <v>22</v>
      </c>
      <c r="C6" s="16">
        <v>19000</v>
      </c>
      <c r="D6" s="17" t="s">
        <v>7</v>
      </c>
      <c r="F6" s="44">
        <v>5280</v>
      </c>
      <c r="G6" s="19">
        <f>(30.9+30.9+31.1+31.1)/4</f>
        <v>31</v>
      </c>
      <c r="H6" s="18">
        <v>5280</v>
      </c>
      <c r="I6" s="105">
        <f>(21.3+21.3+21.3)/3</f>
        <v>21.3</v>
      </c>
      <c r="K6" s="21"/>
      <c r="L6" s="21"/>
      <c r="M6" s="21"/>
    </row>
    <row r="7" spans="1:17" x14ac:dyDescent="0.25">
      <c r="A7" s="20" t="s">
        <v>24</v>
      </c>
      <c r="B7" s="15" t="s">
        <v>1</v>
      </c>
      <c r="C7" s="22">
        <v>4.2</v>
      </c>
      <c r="D7" s="17" t="s">
        <v>7</v>
      </c>
      <c r="F7" s="44">
        <v>7290</v>
      </c>
      <c r="G7" s="19">
        <f>(31.1+31.1+31.1+31.1)/4</f>
        <v>31.1</v>
      </c>
      <c r="H7" s="18">
        <v>7290</v>
      </c>
      <c r="I7" s="105">
        <f>(16.3+16.5+16.9)/3</f>
        <v>16.566666666666666</v>
      </c>
      <c r="K7" s="21"/>
      <c r="L7" s="21"/>
      <c r="M7" s="21"/>
      <c r="Q7" s="13"/>
    </row>
    <row r="8" spans="1:17" ht="15.75" thickBot="1" x14ac:dyDescent="0.3">
      <c r="A8" s="37" t="s">
        <v>26</v>
      </c>
      <c r="B8" s="38" t="s">
        <v>27</v>
      </c>
      <c r="C8" s="94">
        <v>0</v>
      </c>
      <c r="D8" s="95" t="s">
        <v>13</v>
      </c>
      <c r="F8" s="44">
        <v>10230</v>
      </c>
      <c r="G8" s="19">
        <f>(30.6+30.6+30.6+30.8)/4</f>
        <v>30.650000000000002</v>
      </c>
      <c r="H8" s="18">
        <v>10230</v>
      </c>
      <c r="I8" s="105">
        <f>(11.2+11.3+11.5)/3</f>
        <v>11.333333333333334</v>
      </c>
      <c r="K8" s="21"/>
      <c r="L8" s="21"/>
      <c r="M8" s="21"/>
      <c r="Q8" s="13"/>
    </row>
    <row r="9" spans="1:17" ht="15.75" thickBot="1" x14ac:dyDescent="0.3">
      <c r="B9" s="3"/>
      <c r="C9" s="3"/>
      <c r="D9" s="3"/>
      <c r="E9" s="21"/>
      <c r="F9" s="44">
        <v>12400</v>
      </c>
      <c r="G9" s="19">
        <f>(30.7+30.7+30.7+30.7)/4</f>
        <v>30.7</v>
      </c>
      <c r="H9" s="18">
        <v>12400</v>
      </c>
      <c r="I9" s="105">
        <f>(7.7+7.7+7.7+7.9)/4</f>
        <v>7.75</v>
      </c>
      <c r="K9" s="21"/>
      <c r="L9" s="21"/>
      <c r="M9" s="21"/>
      <c r="Q9" s="13"/>
    </row>
    <row r="10" spans="1:17" ht="15.75" thickBot="1" x14ac:dyDescent="0.3">
      <c r="A10" s="150" t="s">
        <v>53</v>
      </c>
      <c r="B10" s="151"/>
      <c r="C10" s="151"/>
      <c r="D10" s="152"/>
      <c r="E10" s="21"/>
      <c r="F10" s="44">
        <v>14140</v>
      </c>
      <c r="G10" s="19">
        <f>(18+26.5+29.9+30.1)/4</f>
        <v>26.125</v>
      </c>
      <c r="H10" s="18">
        <v>14140</v>
      </c>
      <c r="I10" s="105">
        <f>(4+4+4.4+4.5)/4</f>
        <v>4.2249999999999996</v>
      </c>
      <c r="K10" s="21"/>
      <c r="L10" s="21"/>
      <c r="M10" s="21"/>
      <c r="Q10" s="13"/>
    </row>
    <row r="11" spans="1:17" x14ac:dyDescent="0.25">
      <c r="A11" s="28" t="s">
        <v>19</v>
      </c>
      <c r="B11" s="8" t="s">
        <v>0</v>
      </c>
      <c r="C11" s="29">
        <v>0.9</v>
      </c>
      <c r="D11" s="30"/>
      <c r="F11" s="44">
        <v>16580</v>
      </c>
      <c r="G11" s="19">
        <f>(22+26+27.9+28.2)/4</f>
        <v>26.025000000000002</v>
      </c>
      <c r="H11" s="18">
        <v>16580</v>
      </c>
      <c r="I11" s="105">
        <f>(1.7+1.7+2)/3</f>
        <v>1.8</v>
      </c>
      <c r="K11" s="21"/>
      <c r="L11" s="21"/>
      <c r="M11" s="21"/>
    </row>
    <row r="12" spans="1:17" x14ac:dyDescent="0.25">
      <c r="A12" s="31" t="s">
        <v>35</v>
      </c>
      <c r="B12" s="32" t="s">
        <v>36</v>
      </c>
      <c r="C12" s="33">
        <v>500</v>
      </c>
      <c r="D12" s="34" t="s">
        <v>37</v>
      </c>
      <c r="F12" s="18">
        <v>18390</v>
      </c>
      <c r="G12" s="19">
        <f>(21.4+21.5+21.6+21.9)/4</f>
        <v>21.6</v>
      </c>
      <c r="H12" s="18"/>
      <c r="I12" s="19"/>
      <c r="K12" s="21"/>
      <c r="L12" s="21"/>
      <c r="M12" s="21"/>
    </row>
    <row r="13" spans="1:17" x14ac:dyDescent="0.25">
      <c r="A13" s="24" t="s">
        <v>30</v>
      </c>
      <c r="B13" s="15" t="s">
        <v>2</v>
      </c>
      <c r="C13" s="36">
        <v>14.8</v>
      </c>
      <c r="D13" s="17" t="s">
        <v>31</v>
      </c>
      <c r="F13" s="18">
        <v>20790</v>
      </c>
      <c r="G13" s="19">
        <f>(9.6+12.5+14.7+15.5)/4</f>
        <v>13.074999999999999</v>
      </c>
      <c r="H13" s="18"/>
      <c r="I13" s="19"/>
      <c r="K13" s="21"/>
      <c r="L13" s="21"/>
      <c r="M13" s="21"/>
    </row>
    <row r="14" spans="1:17" x14ac:dyDescent="0.25">
      <c r="A14" s="164" t="s">
        <v>32</v>
      </c>
      <c r="B14" s="165" t="s">
        <v>33</v>
      </c>
      <c r="C14" s="166">
        <f>C12/C13</f>
        <v>33.783783783783782</v>
      </c>
      <c r="D14" s="167" t="s">
        <v>34</v>
      </c>
      <c r="F14" s="18">
        <v>25350</v>
      </c>
      <c r="G14" s="19">
        <f>(4.2+4.3+4.7+4.7)/4</f>
        <v>4.4749999999999996</v>
      </c>
      <c r="H14" s="18"/>
      <c r="I14" s="35"/>
      <c r="K14" s="21"/>
      <c r="L14" s="21"/>
      <c r="M14" s="21"/>
    </row>
    <row r="15" spans="1:17" ht="15.75" thickBot="1" x14ac:dyDescent="0.3">
      <c r="A15" s="37" t="s">
        <v>70</v>
      </c>
      <c r="B15" s="159" t="s">
        <v>71</v>
      </c>
      <c r="C15" s="160">
        <v>30000</v>
      </c>
      <c r="D15" s="40" t="s">
        <v>7</v>
      </c>
      <c r="F15" s="18"/>
      <c r="G15" s="19"/>
      <c r="H15" s="18"/>
      <c r="I15" s="35"/>
      <c r="K15" s="21"/>
      <c r="L15" s="21"/>
      <c r="M15" s="21"/>
    </row>
    <row r="16" spans="1:17" ht="15.75" thickBot="1" x14ac:dyDescent="0.3">
      <c r="A16" s="21"/>
      <c r="F16" s="18"/>
      <c r="G16" s="19"/>
      <c r="H16" s="18"/>
      <c r="I16" s="35"/>
      <c r="K16" s="21"/>
      <c r="L16" s="21"/>
      <c r="M16" s="21"/>
    </row>
    <row r="17" spans="1:24" ht="15.75" thickBot="1" x14ac:dyDescent="0.3">
      <c r="A17" s="150" t="s">
        <v>3</v>
      </c>
      <c r="B17" s="151"/>
      <c r="C17" s="151"/>
      <c r="D17" s="152"/>
      <c r="F17" s="18"/>
      <c r="G17" s="19"/>
      <c r="H17" s="18"/>
      <c r="I17" s="35"/>
      <c r="K17" s="21"/>
      <c r="L17" s="21"/>
      <c r="M17" s="21"/>
    </row>
    <row r="18" spans="1:24" x14ac:dyDescent="0.25">
      <c r="A18" s="28" t="s">
        <v>8</v>
      </c>
      <c r="B18" s="8" t="s">
        <v>9</v>
      </c>
      <c r="C18" s="9">
        <f>Overview!D18</f>
        <v>1070</v>
      </c>
      <c r="D18" s="10" t="s">
        <v>10</v>
      </c>
      <c r="F18" s="18"/>
      <c r="G18" s="19"/>
      <c r="H18" s="18"/>
      <c r="I18" s="35"/>
      <c r="K18" s="21"/>
      <c r="L18" s="21"/>
      <c r="M18" s="21"/>
    </row>
    <row r="19" spans="1:24" x14ac:dyDescent="0.25">
      <c r="A19" s="20" t="s">
        <v>14</v>
      </c>
      <c r="B19" s="15" t="s">
        <v>15</v>
      </c>
      <c r="C19" s="90">
        <f>Overview!D19</f>
        <v>1070</v>
      </c>
      <c r="D19" s="17" t="s">
        <v>10</v>
      </c>
      <c r="E19" s="41"/>
      <c r="F19" s="18"/>
      <c r="G19" s="19"/>
      <c r="H19" s="18"/>
      <c r="I19" s="35"/>
      <c r="K19" s="21"/>
      <c r="L19" s="21"/>
      <c r="M19" s="21"/>
    </row>
    <row r="20" spans="1:24" x14ac:dyDescent="0.25">
      <c r="A20" s="24" t="s">
        <v>52</v>
      </c>
      <c r="B20" s="15" t="s">
        <v>20</v>
      </c>
      <c r="C20" s="90">
        <f>Overview!D20</f>
        <v>14300</v>
      </c>
      <c r="D20" s="23" t="s">
        <v>7</v>
      </c>
      <c r="F20" s="18"/>
      <c r="G20" s="19"/>
      <c r="H20" s="18"/>
      <c r="I20" s="35"/>
      <c r="K20" s="21"/>
      <c r="L20" s="21"/>
      <c r="M20" s="21"/>
    </row>
    <row r="21" spans="1:24" x14ac:dyDescent="0.25">
      <c r="A21" s="24" t="s">
        <v>58</v>
      </c>
      <c r="B21" s="15" t="s">
        <v>23</v>
      </c>
      <c r="C21" s="90">
        <f>Overview!D21</f>
        <v>14300</v>
      </c>
      <c r="D21" s="23" t="s">
        <v>7</v>
      </c>
      <c r="F21" s="18"/>
      <c r="G21" s="19"/>
      <c r="H21" s="18"/>
      <c r="I21" s="35"/>
    </row>
    <row r="22" spans="1:24" x14ac:dyDescent="0.25">
      <c r="A22" s="55" t="s">
        <v>57</v>
      </c>
      <c r="B22" s="15" t="s">
        <v>25</v>
      </c>
      <c r="C22" s="25">
        <f>Overview!D22</f>
        <v>0</v>
      </c>
      <c r="D22" s="17" t="s">
        <v>7</v>
      </c>
      <c r="F22" s="18"/>
      <c r="G22" s="19"/>
      <c r="H22" s="18"/>
      <c r="I22" s="35"/>
      <c r="J22" s="21"/>
      <c r="K22" s="42"/>
      <c r="L22" s="42"/>
      <c r="M22" s="42"/>
      <c r="T22" s="43"/>
      <c r="W22" s="43"/>
    </row>
    <row r="23" spans="1:24" ht="15.75" thickBot="1" x14ac:dyDescent="0.3">
      <c r="A23" s="87" t="s">
        <v>28</v>
      </c>
      <c r="B23" s="38" t="s">
        <v>29</v>
      </c>
      <c r="C23" s="88">
        <f>Overview!D23</f>
        <v>3</v>
      </c>
      <c r="D23" s="89" t="s">
        <v>7</v>
      </c>
      <c r="F23" s="45"/>
      <c r="G23" s="46"/>
      <c r="H23" s="45"/>
      <c r="I23" s="47"/>
      <c r="J23" s="21"/>
    </row>
    <row r="24" spans="1:24" ht="15.75" thickBot="1" x14ac:dyDescent="0.3">
      <c r="A24" s="85"/>
      <c r="B24" s="61"/>
      <c r="C24" s="86"/>
      <c r="D24" s="101"/>
      <c r="F24" s="48"/>
      <c r="G24" s="48"/>
      <c r="H24" s="48"/>
      <c r="I24" s="48"/>
      <c r="J24" s="48"/>
      <c r="S24" s="49"/>
      <c r="T24" s="43"/>
      <c r="W24" s="43"/>
    </row>
    <row r="25" spans="1:24" ht="15.75" thickBot="1" x14ac:dyDescent="0.3">
      <c r="A25" s="151" t="s">
        <v>56</v>
      </c>
      <c r="B25" s="151"/>
      <c r="C25" s="151"/>
      <c r="D25" s="152"/>
      <c r="F25" s="156" t="s">
        <v>43</v>
      </c>
      <c r="G25" s="157"/>
      <c r="H25" s="157"/>
      <c r="I25" s="158"/>
      <c r="J25" s="48"/>
      <c r="V25" s="43"/>
      <c r="W25" s="43"/>
      <c r="X25" s="43"/>
    </row>
    <row r="26" spans="1:24" x14ac:dyDescent="0.25">
      <c r="A26" s="91" t="s">
        <v>64</v>
      </c>
      <c r="B26" s="92" t="s">
        <v>54</v>
      </c>
      <c r="C26" s="51">
        <f>$C$11*$C$20/C$14/$C$18</f>
        <v>0.35602990654205607</v>
      </c>
      <c r="D26" s="30"/>
      <c r="F26" s="138" t="s">
        <v>67</v>
      </c>
      <c r="G26" s="139"/>
      <c r="H26" s="139"/>
      <c r="I26" s="140"/>
      <c r="J26" s="48"/>
      <c r="V26" s="43"/>
      <c r="W26" s="43"/>
      <c r="X26" s="43"/>
    </row>
    <row r="27" spans="1:24" x14ac:dyDescent="0.25">
      <c r="A27" s="14" t="s">
        <v>48</v>
      </c>
      <c r="B27" s="15" t="s">
        <v>47</v>
      </c>
      <c r="C27" s="53">
        <f>C30/C13</f>
        <v>33.783783783783782</v>
      </c>
      <c r="D27" s="54" t="s">
        <v>34</v>
      </c>
      <c r="F27" s="141"/>
      <c r="G27" s="142"/>
      <c r="H27" s="142"/>
      <c r="I27" s="143"/>
      <c r="J27" s="48"/>
      <c r="V27" s="43"/>
      <c r="W27" s="43"/>
      <c r="X27" s="43"/>
    </row>
    <row r="28" spans="1:24" x14ac:dyDescent="0.25">
      <c r="A28" s="93" t="s">
        <v>63</v>
      </c>
      <c r="B28" s="84" t="s">
        <v>59</v>
      </c>
      <c r="C28" s="53">
        <f>C11*C21/C27/C19</f>
        <v>0.35602990654205607</v>
      </c>
      <c r="D28" s="54"/>
      <c r="F28" s="141"/>
      <c r="G28" s="142"/>
      <c r="H28" s="142"/>
      <c r="I28" s="143"/>
      <c r="J28" s="50"/>
      <c r="V28" s="43"/>
      <c r="W28" s="43"/>
      <c r="X28" s="43"/>
    </row>
    <row r="29" spans="1:24" x14ac:dyDescent="0.25">
      <c r="A29" s="55" t="s">
        <v>49</v>
      </c>
      <c r="B29" s="15" t="s">
        <v>60</v>
      </c>
      <c r="C29" s="56">
        <f>($C$5-$C$8)*(C30/C12)^(1/$C$11)+$C$8</f>
        <v>27</v>
      </c>
      <c r="D29" s="17" t="s">
        <v>13</v>
      </c>
      <c r="E29" s="21"/>
      <c r="F29" s="141"/>
      <c r="G29" s="142"/>
      <c r="H29" s="142"/>
      <c r="I29" s="143"/>
      <c r="J29" s="52"/>
      <c r="P29" s="21"/>
      <c r="Q29" s="21"/>
      <c r="V29" s="43"/>
      <c r="W29" s="43"/>
      <c r="X29" s="43"/>
    </row>
    <row r="30" spans="1:24" ht="15.75" thickBot="1" x14ac:dyDescent="0.3">
      <c r="A30" s="57" t="s">
        <v>50</v>
      </c>
      <c r="B30" s="58" t="s">
        <v>44</v>
      </c>
      <c r="C30" s="59">
        <f>C12*(1-C26*(EXP(C22/C20)-1))</f>
        <v>500</v>
      </c>
      <c r="D30" s="26"/>
      <c r="E30" s="21"/>
      <c r="F30" s="144"/>
      <c r="G30" s="145"/>
      <c r="H30" s="145"/>
      <c r="I30" s="146"/>
      <c r="J30" s="52"/>
      <c r="P30" s="21"/>
      <c r="Q30" s="21"/>
      <c r="V30" s="43"/>
      <c r="W30" s="43"/>
      <c r="X30" s="43"/>
    </row>
    <row r="31" spans="1:24" ht="15.75" thickBot="1" x14ac:dyDescent="0.3">
      <c r="A31" s="60"/>
      <c r="B31" s="61"/>
      <c r="C31" s="62"/>
      <c r="D31" s="63"/>
      <c r="E31" s="21"/>
      <c r="F31" s="21"/>
      <c r="H31" s="21"/>
      <c r="I31" s="21"/>
    </row>
    <row r="32" spans="1:24" ht="15.75" thickBot="1" x14ac:dyDescent="0.3">
      <c r="A32" s="96" t="s">
        <v>38</v>
      </c>
      <c r="B32" s="97" t="s">
        <v>46</v>
      </c>
      <c r="C32" s="98"/>
      <c r="D32" s="99"/>
      <c r="E32" s="100" t="s">
        <v>39</v>
      </c>
      <c r="F32" s="100" t="s">
        <v>45</v>
      </c>
      <c r="G32" s="100" t="s">
        <v>40</v>
      </c>
      <c r="H32" s="100" t="s">
        <v>41</v>
      </c>
      <c r="I32" s="100" t="s">
        <v>42</v>
      </c>
      <c r="R32" s="43"/>
      <c r="S32" s="64"/>
      <c r="T32" s="64"/>
      <c r="U32" s="64"/>
      <c r="V32" s="64"/>
      <c r="W32" s="64"/>
      <c r="X32" s="64"/>
    </row>
    <row r="33" spans="1:37" x14ac:dyDescent="0.25">
      <c r="A33" s="107">
        <f>A34-$C$4-9000</f>
        <v>-18000</v>
      </c>
      <c r="B33" s="66">
        <f>A33+3700</f>
        <v>-14300</v>
      </c>
      <c r="C33" s="67"/>
      <c r="D33" s="68"/>
      <c r="E33" s="69">
        <f t="shared" ref="E33:E64" si="0">IF(A33&lt;=$C$22,$C$18*EXP(-A33/$C$20),$C$19*EXP(-(A33-$C$22)/$C$21))</f>
        <v>3767.4557535966119</v>
      </c>
      <c r="F33" s="70">
        <f>IF(A33&lt;=$C$22,IF($C$12*(1-$C$26*(EXP(A33/$C$20)-1))&gt;0,$C$12*(1-$C$26*(EXP(A33/$C$20)-1)),0),IF($C$30*(1-$C$28*(EXP((A33-$C$22)/$C$21)-1))&gt;0,$C$30*(1-$C$28*(EXP((A33-$C$22)/$C$21)-1)),0))</f>
        <v>627.45669526941469</v>
      </c>
      <c r="G33" s="71">
        <f>IF(A33&lt;=$C$22,($C$5-$C$8)*(F33/$C$12)^(1/$C$11)+$C$8, ($C$29-$C$8)*(F33/$C$30)^(1/$C$11)+$C$8)</f>
        <v>34.748383130683315</v>
      </c>
      <c r="H33" s="161">
        <f>IF($C$15=0,B33-$C$6/2, B33-$C$6*EXP(-B33/$C$15)/2)</f>
        <v>-29601.616329554512</v>
      </c>
      <c r="I33" s="161">
        <f>IF($C$15=0,B33+$C$6/2, B33+$C$6*EXP(-B33/$C$15)/2)</f>
        <v>1001.6163295545102</v>
      </c>
      <c r="R33" s="43"/>
      <c r="S33" s="64"/>
      <c r="T33" s="64"/>
      <c r="U33" s="64"/>
      <c r="V33" s="64"/>
      <c r="W33" s="64"/>
      <c r="X33" s="64"/>
    </row>
    <row r="34" spans="1:37" x14ac:dyDescent="0.25">
      <c r="A34" s="108">
        <f t="shared" ref="A34:A41" si="1">A35-$C$4</f>
        <v>-8000</v>
      </c>
      <c r="B34" s="65">
        <f t="shared" ref="B34:B97" si="2">A34+3700</f>
        <v>-4300</v>
      </c>
      <c r="D34" s="72"/>
      <c r="E34" s="73">
        <f t="shared" si="0"/>
        <v>1872.1719133892698</v>
      </c>
      <c r="F34" s="74">
        <f>IF(A34&lt;=$C$22,IF($C$12*(1-$C$26*(EXP(A34/$C$20)-1))&gt;0,$C$12*(1-$C$26*(EXP(A34/$C$20)-1)),0),IF($C$30*(1-$C$28*(EXP((A34-$C$22)/$C$21)-1))&gt;0,$C$30*(1-$C$28*(EXP((A34-$C$22)/$C$21)-1)),0))</f>
        <v>576.27429653017703</v>
      </c>
      <c r="G34" s="75">
        <f>IF(A34&lt;=$C$22,($C$5-$C$8)*(F34/$C$12)^(1/$C$11)+$C$8, ($C$29-$C$8)*(F34/$C$30)^(1/$C$11)+$C$8)</f>
        <v>31.613605992608573</v>
      </c>
      <c r="H34" s="162">
        <f t="shared" ref="H34:H97" si="3">IF($C$15=0,B34-$C$6/2, B34-$C$6*EXP(-B34/$C$15)/2)</f>
        <v>-15264.087202512988</v>
      </c>
      <c r="I34" s="162">
        <f t="shared" ref="I34:I97" si="4">IF($C$15=0,B34+$C$6/2, B34+$C$6*EXP(-B34/$C$15)/2)</f>
        <v>6664.0872025129884</v>
      </c>
      <c r="R34" s="43"/>
      <c r="S34" s="64"/>
      <c r="T34" s="64"/>
      <c r="U34" s="64"/>
      <c r="V34" s="64"/>
      <c r="W34" s="64"/>
      <c r="X34" s="64"/>
    </row>
    <row r="35" spans="1:37" x14ac:dyDescent="0.25">
      <c r="A35" s="108">
        <f t="shared" si="1"/>
        <v>-7000</v>
      </c>
      <c r="B35" s="65">
        <f t="shared" si="2"/>
        <v>-3300</v>
      </c>
      <c r="D35" s="72"/>
      <c r="E35" s="73">
        <f t="shared" si="0"/>
        <v>1745.7235961504243</v>
      </c>
      <c r="F35" s="74">
        <f>IF(A35&lt;=$C$22,IF($C$12*(1-$C$26*(EXP(A35/$C$20)-1))&gt;0,$C$12*(1-$C$26*(EXP(A35/$C$20)-1)),0),IF($C$30*(1-$C$28*(EXP((A35-$C$22)/$C$21)-1))&gt;0,$C$30*(1-$C$28*(EXP((A35-$C$22)/$C$21)-1)),0))</f>
        <v>568.90489689095318</v>
      </c>
      <c r="G35" s="75">
        <f>IF(A35&lt;=$C$22,($C$5-$C$8)*(F35/$C$12)^(1/$C$11)+$C$8, ($C$29-$C$8)*(F35/$C$30)^(1/$C$11)+$C$8)</f>
        <v>31.164731882236218</v>
      </c>
      <c r="H35" s="162">
        <f t="shared" si="3"/>
        <v>-13904.641669359276</v>
      </c>
      <c r="I35" s="162">
        <f t="shared" si="4"/>
        <v>7304.6416693592764</v>
      </c>
      <c r="R35" s="43"/>
      <c r="S35" s="64"/>
      <c r="T35" s="64"/>
      <c r="U35" s="64"/>
      <c r="V35" s="64"/>
      <c r="W35" s="64"/>
      <c r="X35" s="64"/>
    </row>
    <row r="36" spans="1:37" x14ac:dyDescent="0.25">
      <c r="A36" s="108">
        <f t="shared" si="1"/>
        <v>-6000</v>
      </c>
      <c r="B36" s="65">
        <f t="shared" si="2"/>
        <v>-2300</v>
      </c>
      <c r="D36" s="72"/>
      <c r="E36" s="73">
        <f t="shared" si="0"/>
        <v>1627.8157216017967</v>
      </c>
      <c r="F36" s="74">
        <f>IF(A36&lt;=$C$22,IF($C$12*(1-$C$26*(EXP(A36/$C$20)-1))&gt;0,$C$12*(1-$C$26*(EXP(A36/$C$20)-1)),0),IF($C$30*(1-$C$28*(EXP((A36-$C$22)/$C$21)-1))&gt;0,$C$30*(1-$C$28*(EXP((A36-$C$22)/$C$21)-1)),0))</f>
        <v>561.0017081768176</v>
      </c>
      <c r="G36" s="75">
        <f>IF(A36&lt;=$C$22,($C$5-$C$8)*(F36/$C$12)^(1/$C$11)+$C$8, ($C$29-$C$8)*(F36/$C$30)^(1/$C$11)+$C$8)</f>
        <v>30.684062046209238</v>
      </c>
      <c r="H36" s="162">
        <f t="shared" si="3"/>
        <v>-12556.980162446669</v>
      </c>
      <c r="I36" s="162">
        <f t="shared" si="4"/>
        <v>7956.9801624466691</v>
      </c>
      <c r="R36" s="43"/>
      <c r="S36" s="64"/>
      <c r="T36" s="64"/>
      <c r="U36" s="64"/>
      <c r="V36" s="64"/>
      <c r="W36" s="64"/>
      <c r="X36" s="64"/>
    </row>
    <row r="37" spans="1:37" x14ac:dyDescent="0.25">
      <c r="A37" s="108">
        <f t="shared" si="1"/>
        <v>-5000</v>
      </c>
      <c r="B37" s="65">
        <f t="shared" si="2"/>
        <v>-1300</v>
      </c>
      <c r="D37" s="72"/>
      <c r="E37" s="73">
        <f t="shared" si="0"/>
        <v>1517.8714599133211</v>
      </c>
      <c r="F37" s="74">
        <f>IF(A37&lt;=$C$22,IF($C$12*(1-$C$26*(EXP(A37/$C$20)-1))&gt;0,$C$12*(1-$C$26*(EXP(A37/$C$20)-1)),0),IF($C$30*(1-$C$28*(EXP((A37-$C$22)/$C$21)-1))&gt;0,$C$30*(1-$C$28*(EXP((A37-$C$22)/$C$21)-1)),0))</f>
        <v>552.52606634586164</v>
      </c>
      <c r="G37" s="75">
        <f>IF(A37&lt;=$C$22,($C$5-$C$8)*(F37/$C$12)^(1/$C$11)+$C$8, ($C$29-$C$8)*(F37/$C$30)^(1/$C$11)+$C$8)</f>
        <v>30.169411500111842</v>
      </c>
      <c r="H37" s="162">
        <f t="shared" si="3"/>
        <v>-11220.716355442959</v>
      </c>
      <c r="I37" s="162">
        <f t="shared" si="4"/>
        <v>8620.716355442959</v>
      </c>
      <c r="R37" s="43"/>
      <c r="S37" s="64"/>
      <c r="T37" s="64"/>
      <c r="U37" s="64"/>
      <c r="V37" s="64"/>
      <c r="W37" s="64"/>
      <c r="X37" s="64"/>
    </row>
    <row r="38" spans="1:37" x14ac:dyDescent="0.25">
      <c r="A38" s="108">
        <f t="shared" si="1"/>
        <v>-4000</v>
      </c>
      <c r="B38" s="65">
        <f t="shared" si="2"/>
        <v>-300</v>
      </c>
      <c r="D38" s="72"/>
      <c r="E38" s="73">
        <f t="shared" si="0"/>
        <v>1415.3529409043238</v>
      </c>
      <c r="F38" s="74">
        <f>IF(A38&lt;=$C$22,IF($C$12*(1-$C$26*(EXP(A38/$C$20)-1))&gt;0,$C$12*(1-$C$26*(EXP(A38/$C$20)-1)),0),IF($C$30*(1-$C$28*(EXP((A38-$C$22)/$C$21)-1))&gt;0,$C$30*(1-$C$28*(EXP((A38-$C$22)/$C$21)-1)),0))</f>
        <v>543.43650679654115</v>
      </c>
      <c r="G38" s="75">
        <f>IF(A38&lt;=$C$22,($C$5-$C$8)*(F38/$C$12)^(1/$C$11)+$C$8, ($C$29-$C$8)*(F38/$C$30)^(1/$C$11)+$C$8)</f>
        <v>29.618457494462863</v>
      </c>
      <c r="H38" s="162">
        <f t="shared" si="3"/>
        <v>-9895.4765872995958</v>
      </c>
      <c r="I38" s="162">
        <f t="shared" si="4"/>
        <v>9295.4765872995958</v>
      </c>
      <c r="R38" s="43"/>
      <c r="S38" s="64"/>
      <c r="T38" s="64"/>
      <c r="U38" s="64"/>
      <c r="V38" s="64"/>
      <c r="W38" s="64"/>
      <c r="X38" s="64"/>
    </row>
    <row r="39" spans="1:37" x14ac:dyDescent="0.25">
      <c r="A39" s="108">
        <f t="shared" si="1"/>
        <v>-3000</v>
      </c>
      <c r="B39" s="65">
        <f t="shared" si="2"/>
        <v>700</v>
      </c>
      <c r="D39" s="72"/>
      <c r="E39" s="73">
        <f t="shared" si="0"/>
        <v>1319.7586226707983</v>
      </c>
      <c r="F39" s="74">
        <f>IF(A39&lt;=$C$22,IF($C$12*(1-$C$26*(EXP(A39/$C$20)-1))&gt;0,$C$12*(1-$C$26*(EXP(A39/$C$20)-1)),0),IF($C$30*(1-$C$28*(EXP((A39-$C$22)/$C$21)-1))&gt;0,$C$30*(1-$C$28*(EXP((A39-$C$22)/$C$21)-1)),0))</f>
        <v>533.68856151422835</v>
      </c>
      <c r="G39" s="75">
        <f>IF(A39&lt;=$C$22,($C$5-$C$8)*(F39/$C$12)^(1/$C$11)+$C$8, ($C$29-$C$8)*(F39/$C$30)^(1/$C$11)+$C$8)</f>
        <v>29.028733398188166</v>
      </c>
      <c r="H39" s="162">
        <f t="shared" si="3"/>
        <v>-8580.8994470343023</v>
      </c>
      <c r="I39" s="162">
        <f t="shared" si="4"/>
        <v>9980.8994470343023</v>
      </c>
      <c r="R39" s="43"/>
      <c r="S39" s="64"/>
      <c r="T39" s="64"/>
      <c r="U39" s="64"/>
      <c r="V39" s="64"/>
      <c r="W39" s="64"/>
      <c r="X39" s="64"/>
    </row>
    <row r="40" spans="1:37" x14ac:dyDescent="0.25">
      <c r="A40" s="108">
        <f t="shared" si="1"/>
        <v>-2000</v>
      </c>
      <c r="B40" s="65">
        <f t="shared" si="2"/>
        <v>1700</v>
      </c>
      <c r="D40" s="72"/>
      <c r="E40" s="73">
        <f t="shared" si="0"/>
        <v>1230.620837938163</v>
      </c>
      <c r="F40" s="74">
        <f>IF(A40&lt;=$C$22,IF($C$12*(1-$C$26*(EXP(A40/$C$20)-1))&gt;0,$C$12*(1-$C$26*(EXP(A40/$C$20)-1)),0),IF($C$30*(1-$C$28*(EXP((A40-$C$22)/$C$21)-1))&gt;0,$C$30*(1-$C$28*(EXP((A40-$C$22)/$C$21)-1)),0))</f>
        <v>523.23454152444003</v>
      </c>
      <c r="G40" s="75">
        <f>IF(A40&lt;=$C$22,($C$5-$C$8)*(F40/$C$12)^(1/$C$11)+$C$8, ($C$29-$C$8)*(F40/$C$30)^(1/$C$11)+$C$8)</f>
        <v>28.397622957265121</v>
      </c>
      <c r="H40" s="162">
        <f t="shared" si="3"/>
        <v>-7276.6353721261221</v>
      </c>
      <c r="I40" s="162">
        <f t="shared" si="4"/>
        <v>10676.635372126122</v>
      </c>
      <c r="R40" s="43"/>
      <c r="S40" s="64"/>
      <c r="T40" s="64"/>
      <c r="U40" s="64"/>
      <c r="V40" s="64"/>
      <c r="W40" s="64"/>
      <c r="X40" s="64"/>
    </row>
    <row r="41" spans="1:37" x14ac:dyDescent="0.25">
      <c r="A41" s="108">
        <f t="shared" si="1"/>
        <v>-1000</v>
      </c>
      <c r="B41" s="65">
        <f t="shared" si="2"/>
        <v>2700</v>
      </c>
      <c r="D41" s="72"/>
      <c r="E41" s="73">
        <f t="shared" si="0"/>
        <v>1147.503506135748</v>
      </c>
      <c r="F41" s="74">
        <f>IF(A41&lt;=$C$22,IF($C$12*(1-$C$26*(EXP(A41/$C$20)-1))&gt;0,$C$12*(1-$C$26*(EXP(A41/$C$20)-1)),0),IF($C$30*(1-$C$28*(EXP((A41-$C$22)/$C$21)-1))&gt;0,$C$30*(1-$C$28*(EXP((A41-$C$22)/$C$21)-1)),0))</f>
        <v>512.02330358846314</v>
      </c>
      <c r="G41" s="75">
        <f>IF(A41&lt;=$C$22,($C$5-$C$8)*(F41/$C$12)^(1/$C$11)+$C$8, ($C$29-$C$8)*(F41/$C$30)^(1/$C$11)+$C$8)</f>
        <v>27.722355157891851</v>
      </c>
      <c r="H41" s="162">
        <f t="shared" si="3"/>
        <v>-5982.346260076667</v>
      </c>
      <c r="I41" s="162">
        <f t="shared" si="4"/>
        <v>11382.346260076667</v>
      </c>
      <c r="R41" s="43"/>
      <c r="S41" s="64"/>
      <c r="T41" s="64"/>
      <c r="U41" s="64"/>
      <c r="V41" s="64"/>
      <c r="W41" s="64"/>
      <c r="X41" s="64"/>
    </row>
    <row r="42" spans="1:37" x14ac:dyDescent="0.25">
      <c r="A42" s="108">
        <v>0</v>
      </c>
      <c r="B42" s="65">
        <f t="shared" si="2"/>
        <v>3700</v>
      </c>
      <c r="D42" s="72"/>
      <c r="E42" s="73">
        <f t="shared" si="0"/>
        <v>1070</v>
      </c>
      <c r="F42" s="74">
        <f>IF(A42&lt;=$C$22,IF($C$12*(1-$C$26*(EXP(A42/$C$20)-1))&gt;0,$C$12*(1-$C$26*(EXP(A42/$C$20)-1)),0),IF($C$30*(1-$C$28*(EXP((A42-$C$22)/$C$21)-1))&gt;0,$C$30*(1-$C$28*(EXP((A42-$C$22)/$C$21)-1)),0))</f>
        <v>500</v>
      </c>
      <c r="G42" s="75">
        <f>IF(A42&lt;=$C$22,($C$5-$C$8)*(F42/$C$12)^(1/$C$11)+$C$8, ($C$29-$C$8)*(F42/$C$30)^(1/$C$11)+$C$8)</f>
        <v>27</v>
      </c>
      <c r="H42" s="162">
        <f t="shared" si="3"/>
        <v>-4697.7050927058826</v>
      </c>
      <c r="I42" s="162">
        <f t="shared" si="4"/>
        <v>12097.705092705883</v>
      </c>
      <c r="T42" s="76"/>
      <c r="U42" s="76"/>
      <c r="V42" s="76"/>
      <c r="W42" s="76"/>
      <c r="X42" s="76"/>
      <c r="AA42" s="76"/>
      <c r="AB42" s="76"/>
      <c r="AC42" s="76"/>
      <c r="AD42" s="76"/>
      <c r="AE42" s="76"/>
      <c r="AF42" s="76"/>
      <c r="AG42" s="76"/>
      <c r="AH42" s="76"/>
      <c r="AI42" s="76"/>
      <c r="AJ42" s="76"/>
      <c r="AK42" s="76"/>
    </row>
    <row r="43" spans="1:37" x14ac:dyDescent="0.25">
      <c r="A43" s="108">
        <f>A42+$C$4</f>
        <v>1000</v>
      </c>
      <c r="B43" s="65">
        <f t="shared" si="2"/>
        <v>4700</v>
      </c>
      <c r="D43" s="72"/>
      <c r="E43" s="73">
        <f t="shared" si="0"/>
        <v>997.73115626939102</v>
      </c>
      <c r="F43" s="74">
        <f>IF(A43&lt;=$C$22,IF($C$12*(1-$C$26*(EXP(A43/$C$20)-1))&gt;0,$C$12*(1-$C$26*(EXP(A43/$C$20)-1)),0),IF($C$30*(1-$C$28*(EXP((A43-$C$22)/$C$21)-1))&gt;0,$C$30*(1-$C$28*(EXP((A43-$C$22)/$C$21)-1)),0))</f>
        <v>487.10581025878878</v>
      </c>
      <c r="G43" s="75">
        <f>IF(A43&lt;=$C$22,($C$5-$C$8)*(F43/$C$12)^(1/$C$11)+$C$8, ($C$29-$C$8)*(F43/$C$30)^(1/$C$11)+$C$8)</f>
        <v>26.227465590380969</v>
      </c>
      <c r="H43" s="162">
        <f t="shared" si="3"/>
        <v>-3422.3955727648654</v>
      </c>
      <c r="I43" s="162">
        <f t="shared" si="4"/>
        <v>12822.395572764864</v>
      </c>
      <c r="T43" s="76"/>
      <c r="U43" s="76"/>
      <c r="V43" s="76"/>
      <c r="W43" s="76"/>
      <c r="X43" s="76"/>
      <c r="AA43" s="76"/>
      <c r="AB43" s="76"/>
      <c r="AC43" s="76"/>
      <c r="AD43" s="76"/>
      <c r="AE43" s="76"/>
      <c r="AF43" s="76"/>
      <c r="AG43" s="76"/>
      <c r="AH43" s="76"/>
      <c r="AI43" s="76"/>
      <c r="AJ43" s="76"/>
      <c r="AK43" s="76"/>
    </row>
    <row r="44" spans="1:37" x14ac:dyDescent="0.25">
      <c r="A44" s="108">
        <f>A43+$C$4</f>
        <v>2000</v>
      </c>
      <c r="B44" s="65">
        <f t="shared" si="2"/>
        <v>5700</v>
      </c>
      <c r="D44" s="72"/>
      <c r="E44" s="73">
        <f t="shared" si="0"/>
        <v>930.34342073893083</v>
      </c>
      <c r="F44" s="74">
        <f>IF(A44&lt;=$C$22,IF($C$12*(1-$C$26*(EXP(A44/$C$20)-1))&gt;0,$C$12*(1-$C$26*(EXP(A44/$C$20)-1)),0),IF($C$30*(1-$C$28*(EXP((A44-$C$22)/$C$21)-1))&gt;0,$C$30*(1-$C$28*(EXP((A44-$C$22)/$C$21)-1)),0))</f>
        <v>473.27765330849024</v>
      </c>
      <c r="G44" s="75">
        <f>IF(A44&lt;=$C$22,($C$5-$C$8)*(F44/$C$12)^(1/$C$11)+$C$8, ($C$29-$C$8)*(F44/$C$30)^(1/$C$11)+$C$8)</f>
        <v>25.401497106350742</v>
      </c>
      <c r="H44" s="162">
        <f t="shared" si="3"/>
        <v>-2156.1117724619417</v>
      </c>
      <c r="I44" s="162">
        <f t="shared" si="4"/>
        <v>13556.111772461942</v>
      </c>
      <c r="J44" s="44"/>
      <c r="K44" s="21"/>
      <c r="L44" s="21"/>
      <c r="M44" s="21"/>
      <c r="N44" s="21"/>
      <c r="O44" s="21"/>
      <c r="T44" s="76"/>
      <c r="U44" s="76"/>
      <c r="V44" s="76"/>
      <c r="W44" s="76"/>
      <c r="X44" s="76"/>
      <c r="AA44" s="76"/>
      <c r="AB44" s="76"/>
      <c r="AC44" s="76"/>
      <c r="AD44" s="76"/>
      <c r="AE44" s="76"/>
      <c r="AF44" s="76"/>
      <c r="AG44" s="76"/>
      <c r="AH44" s="76"/>
      <c r="AI44" s="76"/>
      <c r="AJ44" s="76"/>
      <c r="AK44" s="76"/>
    </row>
    <row r="45" spans="1:37" x14ac:dyDescent="0.25">
      <c r="A45" s="108">
        <f t="shared" ref="A45:A108" si="5">A44+$C$4</f>
        <v>3000</v>
      </c>
      <c r="B45" s="65">
        <f t="shared" si="2"/>
        <v>6700</v>
      </c>
      <c r="D45" s="72"/>
      <c r="E45" s="73">
        <f t="shared" si="0"/>
        <v>867.50711859950843</v>
      </c>
      <c r="F45" s="74">
        <f>IF(A45&lt;=$C$22,IF($C$12*(1-$C$26*(EXP(A45/$C$20)-1))&gt;0,$C$12*(1-$C$26*(EXP(A45/$C$20)-1)),0),IF($C$30*(1-$C$28*(EXP((A45-$C$22)/$C$21)-1))&gt;0,$C$30*(1-$C$28*(EXP((A45-$C$22)/$C$21)-1)),0))</f>
        <v>458.44787893104814</v>
      </c>
      <c r="G45" s="75">
        <f>IF(A45&lt;=$C$22,($C$5-$C$8)*(F45/$C$12)^(1/$C$11)+$C$8, ($C$29-$C$8)*(F45/$C$30)^(1/$C$11)+$C$8)</f>
        <v>24.518678377556792</v>
      </c>
      <c r="H45" s="162">
        <f t="shared" si="3"/>
        <v>-898.55779351141973</v>
      </c>
      <c r="I45" s="162">
        <f t="shared" si="4"/>
        <v>14298.55779351142</v>
      </c>
      <c r="J45" s="44"/>
      <c r="K45" s="21"/>
      <c r="L45" s="21"/>
      <c r="M45" s="21"/>
      <c r="N45" s="21"/>
      <c r="O45" s="21"/>
      <c r="T45" s="76"/>
      <c r="U45" s="76"/>
      <c r="V45" s="76"/>
      <c r="W45" s="76"/>
      <c r="X45" s="76"/>
      <c r="AA45" s="76"/>
      <c r="AB45" s="76"/>
      <c r="AC45" s="76"/>
      <c r="AD45" s="76"/>
      <c r="AE45" s="76"/>
      <c r="AF45" s="76"/>
      <c r="AG45" s="76"/>
      <c r="AH45" s="76"/>
      <c r="AI45" s="76"/>
      <c r="AJ45" s="76"/>
      <c r="AK45" s="76"/>
    </row>
    <row r="46" spans="1:37" x14ac:dyDescent="0.25">
      <c r="A46" s="108">
        <f t="shared" si="5"/>
        <v>4000</v>
      </c>
      <c r="B46" s="65">
        <f t="shared" si="2"/>
        <v>7700</v>
      </c>
      <c r="D46" s="72"/>
      <c r="E46" s="73">
        <f t="shared" si="0"/>
        <v>808.91484160020116</v>
      </c>
      <c r="F46" s="74">
        <f>IF(A46&lt;=$C$22,IF($C$12*(1-$C$26*(EXP(A46/$C$20)-1))&gt;0,$C$12*(1-$C$26*(EXP(A46/$C$20)-1)),0),IF($C$30*(1-$C$28*(EXP((A46-$C$22)/$C$21)-1))&gt;0,$C$30*(1-$C$28*(EXP((A46-$C$22)/$C$21)-1)),0))</f>
        <v>442.54393678776137</v>
      </c>
      <c r="G46" s="75">
        <f>IF(A46&lt;=$C$22,($C$5-$C$8)*(F46/$C$12)^(1/$C$11)+$C$8, ($C$29-$C$8)*(F46/$C$30)^(1/$C$11)+$C$8)</f>
        <v>23.575437110974843</v>
      </c>
      <c r="H46" s="162">
        <f t="shared" si="3"/>
        <v>350.55256167273001</v>
      </c>
      <c r="I46" s="162">
        <f t="shared" si="4"/>
        <v>15049.44743832727</v>
      </c>
      <c r="J46" s="44"/>
      <c r="K46" s="21"/>
      <c r="L46" s="21"/>
      <c r="M46" s="21"/>
      <c r="N46" s="21"/>
      <c r="O46" s="21"/>
      <c r="T46" s="76"/>
      <c r="U46" s="76"/>
      <c r="V46" s="76"/>
      <c r="W46" s="76"/>
      <c r="X46" s="76"/>
      <c r="AA46" s="76"/>
      <c r="AB46" s="76"/>
      <c r="AC46" s="76"/>
      <c r="AD46" s="76"/>
      <c r="AE46" s="76"/>
      <c r="AF46" s="76"/>
      <c r="AG46" s="76"/>
      <c r="AH46" s="76"/>
      <c r="AI46" s="76"/>
      <c r="AJ46" s="76"/>
      <c r="AK46" s="76"/>
    </row>
    <row r="47" spans="1:37" x14ac:dyDescent="0.25">
      <c r="A47" s="108">
        <f t="shared" si="5"/>
        <v>5000</v>
      </c>
      <c r="B47" s="65">
        <f t="shared" si="2"/>
        <v>8700</v>
      </c>
      <c r="D47" s="72"/>
      <c r="E47" s="73">
        <f t="shared" si="0"/>
        <v>754.27994414321495</v>
      </c>
      <c r="F47" s="74">
        <f>IF(A47&lt;=$C$22,IF($C$12*(1-$C$26*(EXP(A47/$C$20)-1))&gt;0,$C$12*(1-$C$26*(EXP(A47/$C$20)-1)),0),IF($C$30*(1-$C$28*(EXP((A47-$C$22)/$C$21)-1))&gt;0,$C$30*(1-$C$28*(EXP((A47-$C$22)/$C$21)-1)),0))</f>
        <v>425.48802148794675</v>
      </c>
      <c r="G47" s="75">
        <f>IF(A47&lt;=$C$22,($C$5-$C$8)*(F47/$C$12)^(1/$C$11)+$C$8, ($C$29-$C$8)*(F47/$C$30)^(1/$C$11)+$C$8)</f>
        <v>22.568055182700316</v>
      </c>
      <c r="H47" s="162">
        <f t="shared" si="3"/>
        <v>1591.4961080036301</v>
      </c>
      <c r="I47" s="162">
        <f t="shared" si="4"/>
        <v>15808.50389199637</v>
      </c>
      <c r="J47" s="44"/>
      <c r="K47" s="21"/>
      <c r="L47" s="21"/>
      <c r="M47" s="21"/>
      <c r="N47" s="21"/>
      <c r="O47" s="21"/>
      <c r="T47" s="76"/>
      <c r="U47" s="76"/>
      <c r="V47" s="76"/>
      <c r="W47" s="76"/>
      <c r="X47" s="76"/>
      <c r="AA47" s="76"/>
      <c r="AB47" s="76"/>
      <c r="AC47" s="76"/>
      <c r="AD47" s="76"/>
      <c r="AE47" s="76"/>
      <c r="AF47" s="76"/>
      <c r="AG47" s="76"/>
      <c r="AH47" s="76"/>
      <c r="AI47" s="76"/>
      <c r="AJ47" s="76"/>
      <c r="AK47" s="76"/>
    </row>
    <row r="48" spans="1:37" x14ac:dyDescent="0.25">
      <c r="A48" s="108">
        <f t="shared" si="5"/>
        <v>6000</v>
      </c>
      <c r="B48" s="65">
        <f t="shared" si="2"/>
        <v>9700</v>
      </c>
      <c r="D48" s="72"/>
      <c r="E48" s="73">
        <f t="shared" si="0"/>
        <v>703.33514095403882</v>
      </c>
      <c r="F48" s="74">
        <f>IF(A48&lt;=$C$22,IF($C$12*(1-$C$26*(EXP(A48/$C$20)-1))&gt;0,$C$12*(1-$C$26*(EXP(A48/$C$20)-1)),0),IF($C$30*(1-$C$28*(EXP((A48-$C$22)/$C$21)-1))&gt;0,$C$30*(1-$C$28*(EXP((A48-$C$22)/$C$21)-1)),0))</f>
        <v>407.19669194879572</v>
      </c>
      <c r="G48" s="75">
        <f>IF(A48&lt;=$C$22,($C$5-$C$8)*(F48/$C$12)^(1/$C$11)+$C$8, ($C$29-$C$8)*(F48/$C$30)^(1/$C$11)+$C$8)</f>
        <v>21.492686004717246</v>
      </c>
      <c r="H48" s="162">
        <f t="shared" si="3"/>
        <v>2824.5405853221091</v>
      </c>
      <c r="I48" s="162">
        <f t="shared" si="4"/>
        <v>16575.459414677891</v>
      </c>
      <c r="J48" s="44"/>
      <c r="K48" s="21"/>
      <c r="L48" s="21"/>
      <c r="M48" s="21"/>
      <c r="N48" s="21"/>
      <c r="O48" s="21"/>
      <c r="T48" s="76"/>
      <c r="U48" s="76"/>
      <c r="V48" s="76"/>
      <c r="W48" s="76"/>
      <c r="X48" s="76"/>
      <c r="AA48" s="76"/>
      <c r="AB48" s="76"/>
      <c r="AC48" s="76"/>
      <c r="AD48" s="76"/>
      <c r="AE48" s="76"/>
      <c r="AF48" s="76"/>
      <c r="AG48" s="76"/>
      <c r="AH48" s="76"/>
      <c r="AI48" s="76"/>
      <c r="AJ48" s="76"/>
      <c r="AK48" s="76"/>
    </row>
    <row r="49" spans="1:37" x14ac:dyDescent="0.25">
      <c r="A49" s="108">
        <f t="shared" si="5"/>
        <v>7000</v>
      </c>
      <c r="B49" s="65">
        <f t="shared" si="2"/>
        <v>10700</v>
      </c>
      <c r="D49" s="72"/>
      <c r="E49" s="73">
        <f t="shared" si="0"/>
        <v>655.83119946632542</v>
      </c>
      <c r="F49" s="74">
        <f>IF(A49&lt;=$C$22,IF($C$12*(1-$C$26*(EXP(A49/$C$20)-1))&gt;0,$C$12*(1-$C$26*(EXP(A49/$C$20)-1)),0),IF($C$30*(1-$C$28*(EXP((A49-$C$22)/$C$21)-1))&gt;0,$C$30*(1-$C$28*(EXP((A49-$C$22)/$C$21)-1)),0))</f>
        <v>387.5804631842534</v>
      </c>
      <c r="G49" s="75">
        <f>IF(A49&lt;=$C$22,($C$5-$C$8)*(F49/$C$12)^(1/$C$11)+$C$8, ($C$29-$C$8)*(F49/$C$30)^(1/$C$11)+$C$8)</f>
        <v>20.345381852972206</v>
      </c>
      <c r="H49" s="162">
        <f t="shared" si="3"/>
        <v>4049.9449559129562</v>
      </c>
      <c r="I49" s="162">
        <f t="shared" si="4"/>
        <v>17350.055044087043</v>
      </c>
      <c r="J49" s="44"/>
      <c r="K49" s="21"/>
      <c r="L49" s="21"/>
      <c r="M49" s="21"/>
      <c r="N49" s="21"/>
      <c r="O49" s="21"/>
      <c r="T49" s="76"/>
      <c r="U49" s="76"/>
      <c r="V49" s="76"/>
      <c r="W49" s="76"/>
      <c r="X49" s="76"/>
      <c r="AA49" s="76"/>
      <c r="AB49" s="76"/>
      <c r="AC49" s="76"/>
      <c r="AD49" s="76"/>
      <c r="AE49" s="76"/>
      <c r="AF49" s="76"/>
      <c r="AG49" s="76"/>
      <c r="AH49" s="76"/>
      <c r="AI49" s="76"/>
      <c r="AJ49" s="76"/>
      <c r="AK49" s="76"/>
    </row>
    <row r="50" spans="1:37" x14ac:dyDescent="0.25">
      <c r="A50" s="108">
        <f t="shared" si="5"/>
        <v>8000</v>
      </c>
      <c r="B50" s="65">
        <f t="shared" si="2"/>
        <v>11700</v>
      </c>
      <c r="D50" s="72"/>
      <c r="E50" s="73">
        <f t="shared" si="0"/>
        <v>611.53572052437244</v>
      </c>
      <c r="F50" s="74">
        <f>IF(A50&lt;=$C$22,IF($C$12*(1-$C$26*(EXP(A50/$C$20)-1))&gt;0,$C$12*(1-$C$26*(EXP(A50/$C$20)-1)),0),IF($C$30*(1-$C$28*(EXP((A50-$C$22)/$C$21)-1))&gt;0,$C$30*(1-$C$28*(EXP((A50-$C$22)/$C$21)-1)),0))</f>
        <v>366.54336852586732</v>
      </c>
      <c r="G50" s="75">
        <f>IF(A50&lt;=$C$22,($C$5-$C$8)*(F50/$C$12)^(1/$C$11)+$C$8, ($C$29-$C$8)*(F50/$C$30)^(1/$C$11)+$C$8)</f>
        <v>19.122135399021857</v>
      </c>
      <c r="H50" s="162">
        <f t="shared" si="3"/>
        <v>5267.9596922674355</v>
      </c>
      <c r="I50" s="162">
        <f t="shared" si="4"/>
        <v>18132.040307732565</v>
      </c>
      <c r="J50" s="44"/>
      <c r="K50" s="21"/>
      <c r="L50" s="21"/>
      <c r="M50" s="21"/>
      <c r="N50" s="21"/>
      <c r="O50" s="21"/>
      <c r="T50" s="76"/>
      <c r="U50" s="76"/>
      <c r="V50" s="76"/>
      <c r="W50" s="76"/>
      <c r="X50" s="76"/>
      <c r="AA50" s="76"/>
      <c r="AB50" s="76"/>
      <c r="AC50" s="76"/>
      <c r="AD50" s="76"/>
      <c r="AE50" s="76"/>
      <c r="AF50" s="76"/>
      <c r="AG50" s="76"/>
      <c r="AH50" s="76"/>
      <c r="AI50" s="76"/>
      <c r="AJ50" s="76"/>
      <c r="AK50" s="76"/>
    </row>
    <row r="51" spans="1:37" x14ac:dyDescent="0.25">
      <c r="A51" s="108">
        <f t="shared" si="5"/>
        <v>9000</v>
      </c>
      <c r="B51" s="65">
        <f t="shared" si="2"/>
        <v>12700</v>
      </c>
      <c r="D51" s="72"/>
      <c r="E51" s="73">
        <f t="shared" si="0"/>
        <v>570.23200143814699</v>
      </c>
      <c r="F51" s="74">
        <f>IF(A51&lt;=$C$22,IF($C$12*(1-$C$26*(EXP(A51/$C$20)-1))&gt;0,$C$12*(1-$C$26*(EXP(A51/$C$20)-1)),0),IF($C$30*(1-$C$28*(EXP((A51-$C$22)/$C$21)-1))&gt;0,$C$30*(1-$C$28*(EXP((A51-$C$22)/$C$21)-1)),0))</f>
        <v>343.9824901338975</v>
      </c>
      <c r="G51" s="75">
        <f>IF(A51&lt;=$C$22,($C$5-$C$8)*(F51/$C$12)^(1/$C$11)+$C$8, ($C$29-$C$8)*(F51/$C$30)^(1/$C$11)+$C$8)</f>
        <v>17.818941849081462</v>
      </c>
      <c r="H51" s="162">
        <f t="shared" si="3"/>
        <v>6478.827055411828</v>
      </c>
      <c r="I51" s="162">
        <f t="shared" si="4"/>
        <v>18921.172944588172</v>
      </c>
      <c r="L51" s="21"/>
      <c r="T51" s="76"/>
      <c r="U51" s="76"/>
      <c r="V51" s="76"/>
      <c r="W51" s="76"/>
      <c r="X51" s="76"/>
      <c r="AA51" s="76"/>
      <c r="AB51" s="76"/>
      <c r="AC51" s="76"/>
      <c r="AD51" s="76"/>
      <c r="AE51" s="76"/>
      <c r="AF51" s="76"/>
      <c r="AG51" s="76"/>
      <c r="AH51" s="76"/>
      <c r="AI51" s="76"/>
      <c r="AJ51" s="76"/>
      <c r="AK51" s="76"/>
    </row>
    <row r="52" spans="1:37" x14ac:dyDescent="0.25">
      <c r="A52" s="108">
        <f t="shared" si="5"/>
        <v>10000</v>
      </c>
      <c r="B52" s="65">
        <f t="shared" si="2"/>
        <v>13700</v>
      </c>
      <c r="D52" s="72"/>
      <c r="E52" s="73">
        <f t="shared" si="0"/>
        <v>531.71797582868362</v>
      </c>
      <c r="F52" s="74">
        <f>IF(A52&lt;=$C$22,IF($C$12*(1-$C$26*(EXP(A52/$C$20)-1))&gt;0,$C$12*(1-$C$26*(EXP(A52/$C$20)-1)),0),IF($C$30*(1-$C$28*(EXP((A52-$C$22)/$C$21)-1))&gt;0,$C$30*(1-$C$28*(EXP((A52-$C$22)/$C$21)-1)),0))</f>
        <v>319.78745550185306</v>
      </c>
      <c r="G52" s="75">
        <f>IF(A52&lt;=$C$22,($C$5-$C$8)*(F52/$C$12)^(1/$C$11)+$C$8, ($C$29-$C$8)*(F52/$C$30)^(1/$C$11)+$C$8)</f>
        <v>16.431891670965836</v>
      </c>
      <c r="H52" s="162">
        <f t="shared" si="3"/>
        <v>7682.7813641112689</v>
      </c>
      <c r="I52" s="162">
        <f t="shared" si="4"/>
        <v>19717.21863588873</v>
      </c>
      <c r="L52" s="21"/>
      <c r="T52" s="76"/>
      <c r="U52" s="76"/>
      <c r="V52" s="76"/>
      <c r="W52" s="76"/>
      <c r="X52" s="76"/>
      <c r="AA52" s="76"/>
      <c r="AB52" s="76"/>
      <c r="AC52" s="76"/>
      <c r="AD52" s="76"/>
      <c r="AE52" s="76"/>
      <c r="AF52" s="76"/>
      <c r="AG52" s="76"/>
      <c r="AH52" s="76"/>
      <c r="AI52" s="76"/>
      <c r="AJ52" s="76"/>
      <c r="AK52" s="76"/>
    </row>
    <row r="53" spans="1:37" x14ac:dyDescent="0.25">
      <c r="A53" s="108">
        <f t="shared" si="5"/>
        <v>11000</v>
      </c>
      <c r="B53" s="65">
        <f t="shared" si="2"/>
        <v>14700</v>
      </c>
      <c r="D53" s="72"/>
      <c r="E53" s="73">
        <f t="shared" si="0"/>
        <v>495.80522507735753</v>
      </c>
      <c r="F53" s="74">
        <f>IF(A53&lt;=$C$22,IF($C$12*(1-$C$26*(EXP(A53/$C$20)-1))&gt;0,$C$12*(1-$C$26*(EXP(A53/$C$20)-1)),0),IF($C$30*(1-$C$28*(EXP((A53-$C$22)/$C$21)-1))&gt;0,$C$30*(1-$C$28*(EXP((A53-$C$22)/$C$21)-1)),0))</f>
        <v>293.83989749124845</v>
      </c>
      <c r="G53" s="75">
        <f>IF(A53&lt;=$C$22,($C$5-$C$8)*(F53/$C$12)^(1/$C$11)+$C$8, ($C$29-$C$8)*(F53/$C$30)^(1/$C$11)+$C$8)</f>
        <v>14.957310073864523</v>
      </c>
      <c r="H53" s="162">
        <f t="shared" si="3"/>
        <v>8880.0492552480464</v>
      </c>
      <c r="I53" s="162">
        <f t="shared" si="4"/>
        <v>20519.950744751954</v>
      </c>
      <c r="L53" s="21"/>
      <c r="T53" s="76"/>
      <c r="U53" s="76"/>
      <c r="V53" s="76"/>
      <c r="W53" s="76"/>
      <c r="X53" s="76"/>
      <c r="AA53" s="76"/>
      <c r="AB53" s="76"/>
      <c r="AC53" s="76"/>
      <c r="AD53" s="76"/>
      <c r="AE53" s="76"/>
      <c r="AF53" s="76"/>
      <c r="AG53" s="76"/>
      <c r="AH53" s="76"/>
      <c r="AI53" s="76"/>
      <c r="AJ53" s="76"/>
      <c r="AK53" s="76"/>
    </row>
    <row r="54" spans="1:37" x14ac:dyDescent="0.25">
      <c r="A54" s="108">
        <f t="shared" si="5"/>
        <v>12000</v>
      </c>
      <c r="B54" s="65">
        <f t="shared" si="2"/>
        <v>15700</v>
      </c>
      <c r="D54" s="72"/>
      <c r="E54" s="73">
        <f t="shared" si="0"/>
        <v>462.31805654283892</v>
      </c>
      <c r="F54" s="74">
        <f>IF(A54&lt;=$C$22,IF($C$12*(1-$C$26*(EXP(A54/$C$20)-1))&gt;0,$C$12*(1-$C$26*(EXP(A54/$C$20)-1)),0),IF($C$30*(1-$C$28*(EXP((A54-$C$22)/$C$21)-1))&gt;0,$C$30*(1-$C$28*(EXP((A54-$C$22)/$C$21)-1)),0))</f>
        <v>266.01287525495928</v>
      </c>
      <c r="G54" s="75">
        <f>IF(A54&lt;=$C$22,($C$5-$C$8)*(F54/$C$12)^(1/$C$11)+$C$8, ($C$29-$C$8)*(F54/$C$30)^(1/$C$11)+$C$8)</f>
        <v>13.391970678006013</v>
      </c>
      <c r="H54" s="162">
        <f t="shared" si="3"/>
        <v>10070.849935663669</v>
      </c>
      <c r="I54" s="162">
        <f t="shared" si="4"/>
        <v>21329.150064336332</v>
      </c>
      <c r="L54" s="21"/>
      <c r="Y54" s="76"/>
      <c r="AA54" s="76"/>
      <c r="AB54" s="76"/>
      <c r="AC54" s="76"/>
      <c r="AD54" s="76"/>
      <c r="AE54" s="76"/>
      <c r="AF54" s="76"/>
      <c r="AG54" s="76"/>
      <c r="AH54" s="76"/>
      <c r="AI54" s="76"/>
      <c r="AJ54" s="76"/>
      <c r="AK54" s="76"/>
    </row>
    <row r="55" spans="1:37" x14ac:dyDescent="0.25">
      <c r="A55" s="108">
        <f t="shared" si="5"/>
        <v>13000</v>
      </c>
      <c r="B55" s="65">
        <f t="shared" si="2"/>
        <v>16700</v>
      </c>
      <c r="D55" s="72"/>
      <c r="E55" s="73">
        <f t="shared" si="0"/>
        <v>431.09264403617232</v>
      </c>
      <c r="F55" s="74">
        <f>IF(A55&lt;=$C$22,IF($C$12*(1-$C$26*(EXP(A55/$C$20)-1))&gt;0,$C$12*(1-$C$26*(EXP(A55/$C$20)-1)),0),IF($C$30*(1-$C$28*(EXP((A55-$C$22)/$C$21)-1))&gt;0,$C$30*(1-$C$28*(EXP((A55-$C$22)/$C$21)-1)),0))</f>
        <v>236.17025321621227</v>
      </c>
      <c r="G55" s="75">
        <f>IF(A55&lt;=$C$22,($C$5-$C$8)*(F55/$C$12)^(1/$C$11)+$C$8, ($C$29-$C$8)*(F55/$C$30)^(1/$C$11)+$C$8)</f>
        <v>11.733432719071216</v>
      </c>
      <c r="H55" s="162">
        <f t="shared" si="3"/>
        <v>11255.395425744584</v>
      </c>
      <c r="I55" s="162">
        <f t="shared" si="4"/>
        <v>22144.604574255416</v>
      </c>
      <c r="L55" s="21"/>
      <c r="Y55" s="76"/>
      <c r="AA55" s="76"/>
      <c r="AB55" s="76"/>
      <c r="AC55" s="76"/>
      <c r="AD55" s="76"/>
      <c r="AE55" s="76"/>
      <c r="AF55" s="76"/>
      <c r="AG55" s="76"/>
      <c r="AH55" s="76"/>
      <c r="AI55" s="76"/>
      <c r="AJ55" s="76"/>
      <c r="AK55" s="76"/>
    </row>
    <row r="56" spans="1:37" x14ac:dyDescent="0.25">
      <c r="A56" s="108">
        <f t="shared" si="5"/>
        <v>14000</v>
      </c>
      <c r="B56" s="65">
        <f t="shared" si="2"/>
        <v>17700</v>
      </c>
      <c r="D56" s="72"/>
      <c r="E56" s="73">
        <f t="shared" si="0"/>
        <v>401.97622634900858</v>
      </c>
      <c r="F56" s="74">
        <f>IF(A56&lt;=$C$22,IF($C$12*(1-$C$26*(EXP(A56/$C$20)-1))&gt;0,$C$12*(1-$C$26*(EXP(A56/$C$20)-1)),0),IF($C$30*(1-$C$28*(EXP((A56-$C$22)/$C$21)-1))&gt;0,$C$30*(1-$C$28*(EXP((A56-$C$22)/$C$21)-1)),0))</f>
        <v>204.16603506504777</v>
      </c>
      <c r="G56" s="75">
        <f>IF(A56&lt;=$C$22,($C$5-$C$8)*(F56/$C$12)^(1/$C$11)+$C$8, ($C$29-$C$8)*(F56/$C$30)^(1/$C$11)+$C$8)</f>
        <v>9.9805972640707061</v>
      </c>
      <c r="H56" s="162">
        <f t="shared" si="3"/>
        <v>12433.890795022184</v>
      </c>
      <c r="I56" s="162">
        <f t="shared" si="4"/>
        <v>22966.109204977816</v>
      </c>
      <c r="L56" s="21"/>
      <c r="Y56" s="76"/>
      <c r="AA56" s="76"/>
      <c r="AB56" s="76"/>
      <c r="AC56" s="76"/>
      <c r="AD56" s="76"/>
      <c r="AE56" s="76"/>
      <c r="AF56" s="76"/>
      <c r="AG56" s="76"/>
      <c r="AH56" s="76"/>
      <c r="AI56" s="76"/>
      <c r="AJ56" s="76"/>
      <c r="AK56" s="76"/>
    </row>
    <row r="57" spans="1:37" x14ac:dyDescent="0.25">
      <c r="A57" s="108">
        <f t="shared" si="5"/>
        <v>15000</v>
      </c>
      <c r="B57" s="65">
        <f t="shared" si="2"/>
        <v>18700</v>
      </c>
      <c r="D57" s="72"/>
      <c r="E57" s="73">
        <f t="shared" si="0"/>
        <v>374.82635991402128</v>
      </c>
      <c r="F57" s="74">
        <f>IF(A57&lt;=$C$22,IF($C$12*(1-$C$26*(EXP(A57/$C$20)-1))&gt;0,$C$12*(1-$C$26*(EXP(A57/$C$20)-1)),0),IF($C$30*(1-$C$28*(EXP((A57-$C$22)/$C$21)-1))&gt;0,$C$30*(1-$C$28*(EXP((A57-$C$22)/$C$21)-1)),0))</f>
        <v>169.84364951402458</v>
      </c>
      <c r="G57" s="75">
        <f>IF(A57&lt;=$C$22,($C$5-$C$8)*(F57/$C$12)^(1/$C$11)+$C$8, ($C$29-$C$8)*(F57/$C$30)^(1/$C$11)+$C$8)</f>
        <v>8.1346856289583833</v>
      </c>
      <c r="H57" s="162">
        <f t="shared" si="3"/>
        <v>13606.534390048961</v>
      </c>
      <c r="I57" s="162">
        <f t="shared" si="4"/>
        <v>23793.465609951039</v>
      </c>
      <c r="L57" s="21"/>
      <c r="Y57" s="76"/>
      <c r="AA57" s="76"/>
      <c r="AB57" s="76"/>
      <c r="AC57" s="76"/>
      <c r="AD57" s="76"/>
      <c r="AE57" s="76"/>
      <c r="AF57" s="76"/>
      <c r="AG57" s="76"/>
      <c r="AH57" s="76"/>
      <c r="AI57" s="76"/>
      <c r="AJ57" s="76"/>
      <c r="AK57" s="76"/>
    </row>
    <row r="58" spans="1:37" x14ac:dyDescent="0.25">
      <c r="A58" s="108">
        <f t="shared" si="5"/>
        <v>16000</v>
      </c>
      <c r="B58" s="65">
        <f t="shared" si="2"/>
        <v>19700</v>
      </c>
      <c r="D58" s="72"/>
      <c r="E58" s="73">
        <f t="shared" si="0"/>
        <v>349.51022194136766</v>
      </c>
      <c r="F58" s="74">
        <f>IF(A58&lt;=$C$22,IF($C$12*(1-$C$26*(EXP(A58/$C$20)-1))&gt;0,$C$12*(1-$C$26*(EXP(A58/$C$20)-1)),0),IF($C$30*(1-$C$28*(EXP((A58-$C$22)/$C$21)-1))&gt;0,$C$30*(1-$C$28*(EXP((A58-$C$22)/$C$21)-1)),0))</f>
        <v>133.03518431893869</v>
      </c>
      <c r="G58" s="75">
        <f>IF(A58&lt;=$C$22,($C$5-$C$8)*(F58/$C$12)^(1/$C$11)+$C$8, ($C$29-$C$8)*(F58/$C$30)^(1/$C$11)+$C$8)</f>
        <v>6.2011323275713455</v>
      </c>
      <c r="H58" s="162">
        <f t="shared" si="3"/>
        <v>14773.518054803953</v>
      </c>
      <c r="I58" s="162">
        <f t="shared" si="4"/>
        <v>24626.481945196047</v>
      </c>
      <c r="L58" s="21"/>
      <c r="Y58" s="76"/>
      <c r="AA58" s="76"/>
      <c r="AB58" s="76"/>
      <c r="AC58" s="76"/>
      <c r="AD58" s="76"/>
      <c r="AE58" s="76"/>
      <c r="AF58" s="76"/>
      <c r="AG58" s="76"/>
      <c r="AH58" s="76"/>
      <c r="AI58" s="76"/>
      <c r="AJ58" s="76"/>
      <c r="AK58" s="76"/>
    </row>
    <row r="59" spans="1:37" x14ac:dyDescent="0.25">
      <c r="A59" s="108">
        <f t="shared" si="5"/>
        <v>17000</v>
      </c>
      <c r="B59" s="65">
        <f t="shared" si="2"/>
        <v>20700</v>
      </c>
      <c r="D59" s="72"/>
      <c r="E59" s="73">
        <f t="shared" si="0"/>
        <v>325.90396062199272</v>
      </c>
      <c r="F59" s="74">
        <f>IF(A59&lt;=$C$22,IF($C$12*(1-$C$26*(EXP(A59/$C$20)-1))&gt;0,$C$12*(1-$C$26*(EXP(A59/$C$20)-1)),0),IF($C$30*(1-$C$28*(EXP((A59-$C$22)/$C$21)-1))&gt;0,$C$30*(1-$C$28*(EXP((A59-$C$22)/$C$21)-1)),0))</f>
        <v>93.560564817222186</v>
      </c>
      <c r="G59" s="75">
        <f>IF(A59&lt;=$C$22,($C$5-$C$8)*(F59/$C$12)^(1/$C$11)+$C$8, ($C$29-$C$8)*(F59/$C$30)^(1/$C$11)+$C$8)</f>
        <v>4.1938351343027911</v>
      </c>
      <c r="H59" s="162">
        <f t="shared" si="3"/>
        <v>15935.027343872473</v>
      </c>
      <c r="I59" s="162">
        <f t="shared" si="4"/>
        <v>25464.972656127527</v>
      </c>
      <c r="L59" s="21"/>
      <c r="Y59" s="76"/>
      <c r="AA59" s="76"/>
      <c r="AB59" s="76"/>
      <c r="AC59" s="76"/>
      <c r="AD59" s="76"/>
      <c r="AE59" s="76"/>
      <c r="AF59" s="76"/>
      <c r="AG59" s="76"/>
      <c r="AH59" s="76"/>
      <c r="AI59" s="76"/>
      <c r="AJ59" s="76"/>
      <c r="AK59" s="76"/>
    </row>
    <row r="60" spans="1:37" x14ac:dyDescent="0.25">
      <c r="A60" s="108">
        <f t="shared" si="5"/>
        <v>18000</v>
      </c>
      <c r="B60" s="65">
        <f t="shared" si="2"/>
        <v>21700</v>
      </c>
      <c r="D60" s="72"/>
      <c r="E60" s="73">
        <f t="shared" si="0"/>
        <v>303.89208921883636</v>
      </c>
      <c r="F60" s="74">
        <f>IF(A60&lt;=$C$22,IF($C$12*(1-$C$26*(EXP(A60/$C$20)-1))&gt;0,$C$12*(1-$C$26*(EXP(A60/$C$20)-1)),0),IF($C$30*(1-$C$28*(EXP((A60-$C$22)/$C$21)-1))&gt;0,$C$30*(1-$C$28*(EXP((A60-$C$22)/$C$21)-1)),0))</f>
        <v>51.226672965264839</v>
      </c>
      <c r="G60" s="75">
        <f>IF(A60&lt;=$C$22,($C$5-$C$8)*(F60/$C$12)^(1/$C$11)+$C$8, ($C$29-$C$8)*(F60/$C$30)^(1/$C$11)+$C$8)</f>
        <v>2.1475751550835538</v>
      </c>
      <c r="H60" s="162">
        <f t="shared" si="3"/>
        <v>17091.241728636945</v>
      </c>
      <c r="I60" s="162">
        <f t="shared" si="4"/>
        <v>26308.758271363055</v>
      </c>
      <c r="Y60" s="76"/>
      <c r="AA60" s="76"/>
      <c r="AB60" s="76"/>
      <c r="AC60" s="76"/>
      <c r="AD60" s="76"/>
      <c r="AE60" s="76"/>
      <c r="AF60" s="76"/>
      <c r="AG60" s="76"/>
      <c r="AH60" s="76"/>
      <c r="AI60" s="76"/>
      <c r="AJ60" s="76"/>
      <c r="AK60" s="76"/>
    </row>
    <row r="61" spans="1:37" x14ac:dyDescent="0.25">
      <c r="A61" s="108">
        <f t="shared" si="5"/>
        <v>19000</v>
      </c>
      <c r="B61" s="65">
        <f t="shared" si="2"/>
        <v>22700</v>
      </c>
      <c r="D61" s="72"/>
      <c r="E61" s="73">
        <f t="shared" si="0"/>
        <v>283.3669210817107</v>
      </c>
      <c r="F61" s="74">
        <f>IF(A61&lt;=$C$22,IF($C$12*(1-$C$26*(EXP(A61/$C$20)-1))&gt;0,$C$12*(1-$C$26*(EXP(A61/$C$20)-1)),0),IF($C$30*(1-$C$28*(EXP((A61-$C$22)/$C$21)-1))&gt;0,$C$30*(1-$C$28*(EXP((A61-$C$22)/$C$21)-1)),0))</f>
        <v>5.8264025648043782</v>
      </c>
      <c r="G61" s="75">
        <f>IF(A61&lt;=$C$22,($C$5-$C$8)*(F61/$C$12)^(1/$C$11)+$C$8, ($C$29-$C$8)*(F61/$C$30)^(1/$C$11)+$C$8)</f>
        <v>0.19184619526157834</v>
      </c>
      <c r="H61" s="162">
        <f t="shared" si="3"/>
        <v>18242.334796708037</v>
      </c>
      <c r="I61" s="162">
        <f t="shared" si="4"/>
        <v>27157.665203291963</v>
      </c>
      <c r="Y61" s="76"/>
      <c r="AA61" s="76"/>
      <c r="AB61" s="76"/>
      <c r="AC61" s="76"/>
      <c r="AD61" s="76"/>
      <c r="AE61" s="76"/>
      <c r="AF61" s="76"/>
      <c r="AG61" s="76"/>
      <c r="AH61" s="76"/>
      <c r="AI61" s="76"/>
      <c r="AJ61" s="76"/>
      <c r="AK61" s="76"/>
    </row>
    <row r="62" spans="1:37" x14ac:dyDescent="0.25">
      <c r="A62" s="108">
        <f t="shared" si="5"/>
        <v>20000</v>
      </c>
      <c r="B62" s="65">
        <f t="shared" si="2"/>
        <v>23700</v>
      </c>
      <c r="D62" s="72"/>
      <c r="E62" s="73">
        <f t="shared" si="0"/>
        <v>264.22804282182483</v>
      </c>
      <c r="F62" s="74">
        <f>IF(A62&lt;=$C$22,IF($C$12*(1-$C$26*(EXP(A62/$C$20)-1))&gt;0,$C$12*(1-$C$26*(EXP(A62/$C$20)-1)),0),IF($C$30*(1-$C$28*(EXP((A62-$C$22)/$C$21)-1))&gt;0,$C$30*(1-$C$28*(EXP((A62-$C$22)/$C$21)-1)),0))</f>
        <v>0</v>
      </c>
      <c r="G62" s="75">
        <f>IF(A62&lt;=$C$22,($C$5-$C$8)*(F62/$C$12)^(1/$C$11)+$C$8, ($C$29-$C$8)*(F62/$C$30)^(1/$C$11)+$C$8)</f>
        <v>0</v>
      </c>
      <c r="H62" s="162">
        <f t="shared" si="3"/>
        <v>19388.474444817621</v>
      </c>
      <c r="I62" s="162">
        <f t="shared" si="4"/>
        <v>28011.525555182379</v>
      </c>
      <c r="Y62" s="76"/>
      <c r="AA62" s="76"/>
      <c r="AB62" s="76"/>
      <c r="AC62" s="76"/>
      <c r="AD62" s="76"/>
      <c r="AE62" s="76"/>
      <c r="AF62" s="76"/>
      <c r="AG62" s="76"/>
      <c r="AH62" s="76"/>
      <c r="AI62" s="76"/>
      <c r="AJ62" s="76"/>
      <c r="AK62" s="76"/>
    </row>
    <row r="63" spans="1:37" x14ac:dyDescent="0.25">
      <c r="A63" s="108">
        <f t="shared" si="5"/>
        <v>21000</v>
      </c>
      <c r="B63" s="65">
        <f t="shared" si="2"/>
        <v>24700</v>
      </c>
      <c r="D63" s="72"/>
      <c r="E63" s="73">
        <f t="shared" si="0"/>
        <v>246.38182306861444</v>
      </c>
      <c r="F63" s="74">
        <f>IF(A63&lt;=$C$22,IF($C$12*(1-$C$26*(EXP(A63/$C$20)-1))&gt;0,$C$12*(1-$C$26*(EXP(A63/$C$20)-1)),0),IF($C$30*(1-$C$28*(EXP((A63-$C$22)/$C$21)-1))&gt;0,$C$30*(1-$C$28*(EXP((A63-$C$22)/$C$21)-1)),0))</f>
        <v>0</v>
      </c>
      <c r="G63" s="75">
        <f>IF(A63&lt;=$C$22,($C$5-$C$8)*(F63/$C$12)^(1/$C$11)+$C$8, ($C$29-$C$8)*(F63/$C$30)^(1/$C$11)+$C$8)</f>
        <v>0</v>
      </c>
      <c r="H63" s="162">
        <f t="shared" si="3"/>
        <v>20529.823065387984</v>
      </c>
      <c r="I63" s="162">
        <f t="shared" si="4"/>
        <v>28870.176934612016</v>
      </c>
      <c r="Y63" s="76"/>
      <c r="AA63" s="76"/>
      <c r="AB63" s="76"/>
      <c r="AC63" s="76"/>
      <c r="AD63" s="76"/>
      <c r="AE63" s="76"/>
      <c r="AF63" s="76"/>
      <c r="AG63" s="76"/>
      <c r="AH63" s="76"/>
      <c r="AI63" s="76"/>
      <c r="AJ63" s="76"/>
      <c r="AK63" s="76"/>
    </row>
    <row r="64" spans="1:37" x14ac:dyDescent="0.25">
      <c r="A64" s="108">
        <f t="shared" si="5"/>
        <v>22000</v>
      </c>
      <c r="B64" s="65">
        <f t="shared" si="2"/>
        <v>25700</v>
      </c>
      <c r="D64" s="72"/>
      <c r="E64" s="73">
        <f t="shared" si="0"/>
        <v>229.74095440561607</v>
      </c>
      <c r="F64" s="74">
        <f>IF(A64&lt;=$C$22,IF($C$12*(1-$C$26*(EXP(A64/$C$20)-1))&gt;0,$C$12*(1-$C$26*(EXP(A64/$C$20)-1)),0),IF($C$30*(1-$C$28*(EXP((A64-$C$22)/$C$21)-1))&gt;0,$C$30*(1-$C$28*(EXP((A64-$C$22)/$C$21)-1)),0))</f>
        <v>0</v>
      </c>
      <c r="G64" s="75">
        <f>IF(A64&lt;=$C$22,($C$5-$C$8)*(F64/$C$12)^(1/$C$11)+$C$8, ($C$29-$C$8)*(F64/$C$30)^(1/$C$11)+$C$8)</f>
        <v>0</v>
      </c>
      <c r="H64" s="162">
        <f t="shared" si="3"/>
        <v>21666.537726984559</v>
      </c>
      <c r="I64" s="162">
        <f t="shared" si="4"/>
        <v>29733.462273015441</v>
      </c>
      <c r="Y64" s="76"/>
    </row>
    <row r="65" spans="1:37" x14ac:dyDescent="0.25">
      <c r="A65" s="108">
        <f t="shared" si="5"/>
        <v>23000</v>
      </c>
      <c r="B65" s="65">
        <f t="shared" si="2"/>
        <v>26700</v>
      </c>
      <c r="D65" s="72"/>
      <c r="E65" s="73">
        <f t="shared" ref="E65:E96" si="6">IF(A65&lt;=$C$22,$C$18*EXP(-A65/$C$20),$C$19*EXP(-(A65-$C$22)/$C$21))</f>
        <v>214.22402624443811</v>
      </c>
      <c r="F65" s="74">
        <f>IF(A65&lt;=$C$22,IF($C$12*(1-$C$26*(EXP(A65/$C$20)-1))&gt;0,$C$12*(1-$C$26*(EXP(A65/$C$20)-1)),0),IF($C$30*(1-$C$28*(EXP((A65-$C$22)/$C$21)-1))&gt;0,$C$30*(1-$C$28*(EXP((A65-$C$22)/$C$21)-1)),0))</f>
        <v>0</v>
      </c>
      <c r="G65" s="75">
        <f>IF(A65&lt;=$C$22,($C$5-$C$8)*(F65/$C$12)^(1/$C$11)+$C$8, ($C$29-$C$8)*(F65/$C$30)^(1/$C$11)+$C$8)</f>
        <v>0</v>
      </c>
      <c r="H65" s="162">
        <f t="shared" si="3"/>
        <v>22798.770348852719</v>
      </c>
      <c r="I65" s="162">
        <f t="shared" si="4"/>
        <v>30601.229651147281</v>
      </c>
      <c r="Y65" s="76"/>
      <c r="AA65" s="76"/>
      <c r="AC65" s="76"/>
      <c r="AD65" s="76"/>
      <c r="AE65" s="76"/>
      <c r="AF65" s="76"/>
      <c r="AG65" s="76"/>
      <c r="AH65" s="76"/>
      <c r="AI65" s="76"/>
      <c r="AJ65" s="76"/>
      <c r="AK65" s="76"/>
    </row>
    <row r="66" spans="1:37" x14ac:dyDescent="0.25">
      <c r="A66" s="108">
        <f t="shared" si="5"/>
        <v>24000</v>
      </c>
      <c r="B66" s="65">
        <f t="shared" si="2"/>
        <v>27700</v>
      </c>
      <c r="D66" s="72"/>
      <c r="E66" s="73">
        <f t="shared" si="6"/>
        <v>199.75512654724074</v>
      </c>
      <c r="F66" s="74">
        <f>IF(A66&lt;=$C$22,IF($C$12*(1-$C$26*(EXP(A66/$C$20)-1))&gt;0,$C$12*(1-$C$26*(EXP(A66/$C$20)-1)),0),IF($C$30*(1-$C$28*(EXP((A66-$C$22)/$C$21)-1))&gt;0,$C$30*(1-$C$28*(EXP((A66-$C$22)/$C$21)-1)),0))</f>
        <v>0</v>
      </c>
      <c r="G66" s="75">
        <f>IF(A66&lt;=$C$22,($C$5-$C$8)*(F66/$C$12)^(1/$C$11)+$C$8, ($C$29-$C$8)*(F66/$C$30)^(1/$C$11)+$C$8)</f>
        <v>0</v>
      </c>
      <c r="H66" s="162">
        <f t="shared" si="3"/>
        <v>23926.667869732548</v>
      </c>
      <c r="I66" s="162">
        <f t="shared" si="4"/>
        <v>31473.332130267452</v>
      </c>
      <c r="Y66" s="76"/>
      <c r="AA66" s="76"/>
      <c r="AC66" s="76"/>
      <c r="AD66" s="76"/>
      <c r="AE66" s="76"/>
      <c r="AF66" s="76"/>
      <c r="AG66" s="76"/>
      <c r="AH66" s="76"/>
      <c r="AI66" s="76"/>
      <c r="AJ66" s="76"/>
      <c r="AK66" s="76"/>
    </row>
    <row r="67" spans="1:37" x14ac:dyDescent="0.25">
      <c r="A67" s="108">
        <f t="shared" si="5"/>
        <v>25000</v>
      </c>
      <c r="B67" s="65">
        <f t="shared" si="2"/>
        <v>28700</v>
      </c>
      <c r="D67" s="72"/>
      <c r="E67" s="73">
        <f t="shared" si="6"/>
        <v>186.26347044926825</v>
      </c>
      <c r="F67" s="74">
        <f>IF(A67&lt;=$C$22,IF($C$12*(1-$C$26*(EXP(A67/$C$20)-1))&gt;0,$C$12*(1-$C$26*(EXP(A67/$C$20)-1)),0),IF($C$30*(1-$C$28*(EXP((A67-$C$22)/$C$21)-1))&gt;0,$C$30*(1-$C$28*(EXP((A67-$C$22)/$C$21)-1)),0))</f>
        <v>0</v>
      </c>
      <c r="G67" s="75">
        <f>IF(A67&lt;=$C$22,($C$5-$C$8)*(F67/$C$12)^(1/$C$11)+$C$8, ($C$29-$C$8)*(F67/$C$30)^(1/$C$11)+$C$8)</f>
        <v>0</v>
      </c>
      <c r="H67" s="162">
        <f t="shared" si="3"/>
        <v>25050.372411139255</v>
      </c>
      <c r="I67" s="162">
        <f t="shared" si="4"/>
        <v>32349.627588860745</v>
      </c>
      <c r="Y67" s="76"/>
      <c r="AA67" s="76"/>
      <c r="AC67" s="76"/>
      <c r="AD67" s="76"/>
      <c r="AE67" s="76"/>
      <c r="AF67" s="76"/>
      <c r="AG67" s="76"/>
      <c r="AH67" s="76"/>
      <c r="AI67" s="76"/>
      <c r="AJ67" s="76"/>
      <c r="AK67" s="76"/>
    </row>
    <row r="68" spans="1:37" x14ac:dyDescent="0.25">
      <c r="A68" s="108">
        <f t="shared" si="5"/>
        <v>26000</v>
      </c>
      <c r="B68" s="65">
        <f t="shared" si="2"/>
        <v>29700</v>
      </c>
      <c r="D68" s="72"/>
      <c r="E68" s="73">
        <f t="shared" si="6"/>
        <v>173.68305396457754</v>
      </c>
      <c r="F68" s="74">
        <f>IF(A68&lt;=$C$22,IF($C$12*(1-$C$26*(EXP(A68/$C$20)-1))&gt;0,$C$12*(1-$C$26*(EXP(A68/$C$20)-1)),0),IF($C$30*(1-$C$28*(EXP((A68-$C$22)/$C$21)-1))&gt;0,$C$30*(1-$C$28*(EXP((A68-$C$22)/$C$21)-1)),0))</f>
        <v>0</v>
      </c>
      <c r="G68" s="75">
        <f>IF(A68&lt;=$C$22,($C$5-$C$8)*(F68/$C$12)^(1/$C$11)+$C$8, ($C$29-$C$8)*(F68/$C$30)^(1/$C$11)+$C$8)</f>
        <v>0</v>
      </c>
      <c r="H68" s="162">
        <f t="shared" si="3"/>
        <v>26170.021435290568</v>
      </c>
      <c r="I68" s="162">
        <f t="shared" si="4"/>
        <v>33229.978564709432</v>
      </c>
      <c r="Y68" s="76"/>
      <c r="AA68" s="76"/>
      <c r="AC68" s="76"/>
      <c r="AD68" s="76"/>
      <c r="AE68" s="76"/>
      <c r="AF68" s="76"/>
      <c r="AG68" s="76"/>
      <c r="AH68" s="76"/>
      <c r="AI68" s="76"/>
      <c r="AJ68" s="76"/>
      <c r="AK68" s="76"/>
    </row>
    <row r="69" spans="1:37" x14ac:dyDescent="0.25">
      <c r="A69" s="108">
        <f t="shared" si="5"/>
        <v>27000</v>
      </c>
      <c r="B69" s="65">
        <f t="shared" si="2"/>
        <v>30700</v>
      </c>
      <c r="D69" s="72"/>
      <c r="E69" s="73">
        <f t="shared" si="6"/>
        <v>161.95233108081962</v>
      </c>
      <c r="F69" s="74">
        <f>IF(A69&lt;=$C$22,IF($C$12*(1-$C$26*(EXP(A69/$C$20)-1))&gt;0,$C$12*(1-$C$26*(EXP(A69/$C$20)-1)),0),IF($C$30*(1-$C$28*(EXP((A69-$C$22)/$C$21)-1))&gt;0,$C$30*(1-$C$28*(EXP((A69-$C$22)/$C$21)-1)),0))</f>
        <v>0</v>
      </c>
      <c r="G69" s="75">
        <f>IF(A69&lt;=$C$22,($C$5-$C$8)*(F69/$C$12)^(1/$C$11)+$C$8, ($C$29-$C$8)*(F69/$C$30)^(1/$C$11)+$C$8)</f>
        <v>0</v>
      </c>
      <c r="H69" s="162">
        <f t="shared" si="3"/>
        <v>27285.747897856672</v>
      </c>
      <c r="I69" s="162">
        <f t="shared" si="4"/>
        <v>34114.252102143328</v>
      </c>
      <c r="Y69" s="76"/>
      <c r="AA69" s="76"/>
      <c r="AC69" s="76"/>
      <c r="AD69" s="76"/>
      <c r="AE69" s="76"/>
      <c r="AF69" s="76"/>
      <c r="AG69" s="76"/>
      <c r="AH69" s="76"/>
      <c r="AI69" s="76"/>
      <c r="AJ69" s="76"/>
      <c r="AK69" s="76"/>
    </row>
    <row r="70" spans="1:37" x14ac:dyDescent="0.25">
      <c r="A70" s="108">
        <f t="shared" si="5"/>
        <v>28000</v>
      </c>
      <c r="B70" s="65">
        <f t="shared" si="2"/>
        <v>31700</v>
      </c>
      <c r="D70" s="72"/>
      <c r="E70" s="73">
        <f t="shared" si="6"/>
        <v>151.01391266335455</v>
      </c>
      <c r="F70" s="74">
        <f>IF(A70&lt;=$C$22,IF($C$12*(1-$C$26*(EXP(A70/$C$20)-1))&gt;0,$C$12*(1-$C$26*(EXP(A70/$C$20)-1)),0),IF($C$30*(1-$C$28*(EXP((A70-$C$22)/$C$21)-1))&gt;0,$C$30*(1-$C$28*(EXP((A70-$C$22)/$C$21)-1)),0))</f>
        <v>0</v>
      </c>
      <c r="G70" s="75">
        <f>IF(A70&lt;=$C$22,($C$5-$C$8)*(F70/$C$12)^(1/$C$11)+$C$8, ($C$29-$C$8)*(F70/$C$30)^(1/$C$11)+$C$8)</f>
        <v>0</v>
      </c>
      <c r="H70" s="162">
        <f t="shared" si="3"/>
        <v>28397.680395702439</v>
      </c>
      <c r="I70" s="162">
        <f t="shared" si="4"/>
        <v>35002.319604297561</v>
      </c>
      <c r="Y70" s="76"/>
      <c r="AA70" s="76"/>
      <c r="AC70" s="76"/>
      <c r="AD70" s="76"/>
      <c r="AE70" s="76"/>
      <c r="AF70" s="76"/>
      <c r="AG70" s="76"/>
      <c r="AH70" s="76"/>
      <c r="AI70" s="76"/>
      <c r="AJ70" s="76"/>
      <c r="AK70" s="76"/>
    </row>
    <row r="71" spans="1:37" x14ac:dyDescent="0.25">
      <c r="A71" s="108">
        <f t="shared" si="5"/>
        <v>29000</v>
      </c>
      <c r="B71" s="65">
        <f t="shared" si="2"/>
        <v>32700</v>
      </c>
      <c r="D71" s="72"/>
      <c r="E71" s="73">
        <f t="shared" si="6"/>
        <v>140.81428569567626</v>
      </c>
      <c r="F71" s="74">
        <f>IF(A71&lt;=$C$22,IF($C$12*(1-$C$26*(EXP(A71/$C$20)-1))&gt;0,$C$12*(1-$C$26*(EXP(A71/$C$20)-1)),0),IF($C$30*(1-$C$28*(EXP((A71-$C$22)/$C$21)-1))&gt;0,$C$30*(1-$C$28*(EXP((A71-$C$22)/$C$21)-1)),0))</f>
        <v>0</v>
      </c>
      <c r="G71" s="75">
        <f>IF(A71&lt;=$C$22,($C$5-$C$8)*(F71/$C$12)^(1/$C$11)+$C$8, ($C$29-$C$8)*(F71/$C$30)^(1/$C$11)+$C$8)</f>
        <v>0</v>
      </c>
      <c r="H71" s="162">
        <f t="shared" si="3"/>
        <v>29505.943309786035</v>
      </c>
      <c r="I71" s="162">
        <f t="shared" si="4"/>
        <v>35894.056690213969</v>
      </c>
      <c r="Y71" s="76"/>
    </row>
    <row r="72" spans="1:37" x14ac:dyDescent="0.25">
      <c r="A72" s="108">
        <f t="shared" si="5"/>
        <v>30000</v>
      </c>
      <c r="B72" s="65">
        <f t="shared" si="2"/>
        <v>33700</v>
      </c>
      <c r="D72" s="72"/>
      <c r="E72" s="73">
        <f t="shared" si="6"/>
        <v>131.30355148261256</v>
      </c>
      <c r="F72" s="74">
        <f>IF(A72&lt;=$C$22,IF($C$12*(1-$C$26*(EXP(A72/$C$20)-1))&gt;0,$C$12*(1-$C$26*(EXP(A72/$C$20)-1)),0),IF($C$30*(1-$C$28*(EXP((A72-$C$22)/$C$21)-1))&gt;0,$C$30*(1-$C$28*(EXP((A72-$C$22)/$C$21)-1)),0))</f>
        <v>0</v>
      </c>
      <c r="G72" s="75">
        <f>IF(A72&lt;=$C$22,($C$5-$C$8)*(F72/$C$12)^(1/$C$11)+$C$8, ($C$29-$C$8)*(F72/$C$30)^(1/$C$11)+$C$8)</f>
        <v>0</v>
      </c>
      <c r="H72" s="162">
        <f t="shared" si="3"/>
        <v>30610.656943372785</v>
      </c>
      <c r="I72" s="162">
        <f t="shared" si="4"/>
        <v>36789.343056627215</v>
      </c>
      <c r="Y72" s="76"/>
    </row>
    <row r="73" spans="1:37" x14ac:dyDescent="0.25">
      <c r="A73" s="108">
        <f t="shared" si="5"/>
        <v>31000</v>
      </c>
      <c r="B73" s="65">
        <f t="shared" si="2"/>
        <v>34700</v>
      </c>
      <c r="D73" s="72"/>
      <c r="E73" s="73">
        <f t="shared" si="6"/>
        <v>122.43518153553694</v>
      </c>
      <c r="F73" s="74">
        <f>IF(A73&lt;=$C$22,IF($C$12*(1-$C$26*(EXP(A73/$C$20)-1))&gt;0,$C$12*(1-$C$26*(EXP(A73/$C$20)-1)),0),IF($C$30*(1-$C$28*(EXP((A73-$C$22)/$C$21)-1))&gt;0,$C$30*(1-$C$28*(EXP((A73-$C$22)/$C$21)-1)),0))</f>
        <v>0</v>
      </c>
      <c r="G73" s="75">
        <f>IF(A73&lt;=$C$22,($C$5-$C$8)*(F73/$C$12)^(1/$C$11)+$C$8, ($C$29-$C$8)*(F73/$C$30)^(1/$C$11)+$C$8)</f>
        <v>0</v>
      </c>
      <c r="H73" s="162">
        <f t="shared" si="3"/>
        <v>31711.937655717866</v>
      </c>
      <c r="I73" s="162">
        <f t="shared" si="4"/>
        <v>37688.062344282138</v>
      </c>
      <c r="Y73" s="76"/>
    </row>
    <row r="74" spans="1:37" x14ac:dyDescent="0.25">
      <c r="A74" s="108">
        <f t="shared" si="5"/>
        <v>32000</v>
      </c>
      <c r="B74" s="65">
        <f t="shared" si="2"/>
        <v>35700</v>
      </c>
      <c r="D74" s="72"/>
      <c r="E74" s="73">
        <f t="shared" si="6"/>
        <v>114.16578994533089</v>
      </c>
      <c r="F74" s="74">
        <f>IF(A74&lt;=$C$22,IF($C$12*(1-$C$26*(EXP(A74/$C$20)-1))&gt;0,$C$12*(1-$C$26*(EXP(A74/$C$20)-1)),0),IF($C$30*(1-$C$28*(EXP((A74-$C$22)/$C$21)-1))&gt;0,$C$30*(1-$C$28*(EXP((A74-$C$22)/$C$21)-1)),0))</f>
        <v>0</v>
      </c>
      <c r="G74" s="75">
        <f>IF(A74&lt;=$C$22,($C$5-$C$8)*(F74/$C$12)^(1/$C$11)+$C$8, ($C$29-$C$8)*(F74/$C$30)^(1/$C$11)+$C$8)</f>
        <v>0</v>
      </c>
      <c r="H74" s="162">
        <f t="shared" si="3"/>
        <v>32809.897991366313</v>
      </c>
      <c r="I74" s="162">
        <f t="shared" si="4"/>
        <v>38590.102008633687</v>
      </c>
      <c r="Y74" s="76"/>
    </row>
    <row r="75" spans="1:37" x14ac:dyDescent="0.25">
      <c r="A75" s="108">
        <f t="shared" si="5"/>
        <v>33000</v>
      </c>
      <c r="B75" s="65">
        <f t="shared" si="2"/>
        <v>36700</v>
      </c>
      <c r="D75" s="72"/>
      <c r="E75" s="73">
        <f t="shared" si="6"/>
        <v>106.45492112949854</v>
      </c>
      <c r="F75" s="74">
        <f>IF(A75&lt;=$C$22,IF($C$12*(1-$C$26*(EXP(A75/$C$20)-1))&gt;0,$C$12*(1-$C$26*(EXP(A75/$C$20)-1)),0),IF($C$30*(1-$C$28*(EXP((A75-$C$22)/$C$21)-1))&gt;0,$C$30*(1-$C$28*(EXP((A75-$C$22)/$C$21)-1)),0))</f>
        <v>0</v>
      </c>
      <c r="G75" s="75">
        <f>IF(A75&lt;=$C$22,($C$5-$C$8)*(F75/$C$12)^(1/$C$11)+$C$8, ($C$29-$C$8)*(F75/$C$30)^(1/$C$11)+$C$8)</f>
        <v>0</v>
      </c>
      <c r="H75" s="162">
        <f t="shared" si="3"/>
        <v>33904.646805214114</v>
      </c>
      <c r="I75" s="162">
        <f t="shared" si="4"/>
        <v>39495.353194785886</v>
      </c>
      <c r="Y75" s="76"/>
    </row>
    <row r="76" spans="1:37" x14ac:dyDescent="0.25">
      <c r="A76" s="108">
        <f t="shared" si="5"/>
        <v>34000</v>
      </c>
      <c r="B76" s="65">
        <f t="shared" si="2"/>
        <v>37700</v>
      </c>
      <c r="D76" s="72"/>
      <c r="E76" s="73">
        <f t="shared" si="6"/>
        <v>99.264851915048055</v>
      </c>
      <c r="F76" s="74">
        <f>IF(A76&lt;=$C$22,IF($C$12*(1-$C$26*(EXP(A76/$C$20)-1))&gt;0,$C$12*(1-$C$26*(EXP(A76/$C$20)-1)),0),IF($C$30*(1-$C$28*(EXP((A76-$C$22)/$C$21)-1))&gt;0,$C$30*(1-$C$28*(EXP((A76-$C$22)/$C$21)-1)),0))</f>
        <v>0</v>
      </c>
      <c r="G76" s="75">
        <f>IF(A76&lt;=$C$22,($C$5-$C$8)*(F76/$C$12)^(1/$C$11)+$C$8, ($C$29-$C$8)*(F76/$C$30)^(1/$C$11)+$C$8)</f>
        <v>0</v>
      </c>
      <c r="H76" s="162">
        <f t="shared" si="3"/>
        <v>34996.289383469273</v>
      </c>
      <c r="I76" s="162">
        <f t="shared" si="4"/>
        <v>40403.710616530727</v>
      </c>
      <c r="Y76" s="76"/>
    </row>
    <row r="77" spans="1:37" x14ac:dyDescent="0.25">
      <c r="A77" s="108">
        <f t="shared" si="5"/>
        <v>35000</v>
      </c>
      <c r="B77" s="65">
        <f t="shared" si="2"/>
        <v>38700</v>
      </c>
      <c r="D77" s="72"/>
      <c r="E77" s="73">
        <f t="shared" si="6"/>
        <v>92.560406988888545</v>
      </c>
      <c r="F77" s="74">
        <f>IF(A77&lt;=$C$22,IF($C$12*(1-$C$26*(EXP(A77/$C$20)-1))&gt;0,$C$12*(1-$C$26*(EXP(A77/$C$20)-1)),0),IF($C$30*(1-$C$28*(EXP((A77-$C$22)/$C$21)-1))&gt;0,$C$30*(1-$C$28*(EXP((A77-$C$22)/$C$21)-1)),0))</f>
        <v>0</v>
      </c>
      <c r="G77" s="75">
        <f>IF(A77&lt;=$C$22,($C$5-$C$8)*(F77/$C$12)^(1/$C$11)+$C$8, ($C$29-$C$8)*(F77/$C$30)^(1/$C$11)+$C$8)</f>
        <v>0</v>
      </c>
      <c r="H77" s="162">
        <f t="shared" si="3"/>
        <v>36084.927560647353</v>
      </c>
      <c r="I77" s="162">
        <f t="shared" si="4"/>
        <v>41315.072439352647</v>
      </c>
      <c r="Y77" s="76"/>
    </row>
    <row r="78" spans="1:37" x14ac:dyDescent="0.25">
      <c r="A78" s="108">
        <f t="shared" si="5"/>
        <v>36000</v>
      </c>
      <c r="B78" s="65">
        <f t="shared" si="2"/>
        <v>39700</v>
      </c>
      <c r="D78" s="72"/>
      <c r="E78" s="73">
        <f t="shared" si="6"/>
        <v>86.308786812887092</v>
      </c>
      <c r="F78" s="74">
        <f>IF(A78&lt;=$C$22,IF($C$12*(1-$C$26*(EXP(A78/$C$20)-1))&gt;0,$C$12*(1-$C$26*(EXP(A78/$C$20)-1)),0),IF($C$30*(1-$C$28*(EXP((A78-$C$22)/$C$21)-1))&gt;0,$C$30*(1-$C$28*(EXP((A78-$C$22)/$C$21)-1)),0))</f>
        <v>0</v>
      </c>
      <c r="G78" s="75">
        <f>IF(A78&lt;=$C$22,($C$5-$C$8)*(F78/$C$12)^(1/$C$11)+$C$8, ($C$29-$C$8)*(F78/$C$30)^(1/$C$11)+$C$8)</f>
        <v>0</v>
      </c>
      <c r="H78" s="162">
        <f t="shared" si="3"/>
        <v>37170.659832731362</v>
      </c>
      <c r="I78" s="162">
        <f t="shared" si="4"/>
        <v>42229.340167268638</v>
      </c>
      <c r="Y78" s="76"/>
    </row>
    <row r="79" spans="1:37" x14ac:dyDescent="0.25">
      <c r="A79" s="108">
        <f t="shared" si="5"/>
        <v>37000</v>
      </c>
      <c r="B79" s="65">
        <f t="shared" si="2"/>
        <v>40700</v>
      </c>
      <c r="D79" s="72"/>
      <c r="E79" s="73">
        <f t="shared" si="6"/>
        <v>80.479407161710455</v>
      </c>
      <c r="F79" s="74">
        <f>IF(A79&lt;=$C$22,IF($C$12*(1-$C$26*(EXP(A79/$C$20)-1))&gt;0,$C$12*(1-$C$26*(EXP(A79/$C$20)-1)),0),IF($C$30*(1-$C$28*(EXP((A79-$C$22)/$C$21)-1))&gt;0,$C$30*(1-$C$28*(EXP((A79-$C$22)/$C$21)-1)),0))</f>
        <v>0</v>
      </c>
      <c r="G79" s="75">
        <f>IF(A79&lt;=$C$22,($C$5-$C$8)*(F79/$C$12)^(1/$C$11)+$C$8, ($C$29-$C$8)*(F79/$C$30)^(1/$C$11)+$C$8)</f>
        <v>0</v>
      </c>
      <c r="H79" s="162">
        <f t="shared" si="3"/>
        <v>38253.58146662193</v>
      </c>
      <c r="I79" s="162">
        <f t="shared" si="4"/>
        <v>43146.41853337807</v>
      </c>
      <c r="Y79" s="76"/>
    </row>
    <row r="80" spans="1:37" x14ac:dyDescent="0.25">
      <c r="A80" s="108">
        <f t="shared" si="5"/>
        <v>38000</v>
      </c>
      <c r="B80" s="65">
        <f t="shared" si="2"/>
        <v>41700</v>
      </c>
      <c r="C80" s="77"/>
      <c r="D80" s="72"/>
      <c r="E80" s="73">
        <f t="shared" si="6"/>
        <v>75.043749498437847</v>
      </c>
      <c r="F80" s="74">
        <f>IF(A80&lt;=$C$22,IF($C$12*(1-$C$26*(EXP(A80/$C$20)-1))&gt;0,$C$12*(1-$C$26*(EXP(A80/$C$20)-1)),0),IF($C$30*(1-$C$28*(EXP((A80-$C$22)/$C$21)-1))&gt;0,$C$30*(1-$C$28*(EXP((A80-$C$22)/$C$21)-1)),0))</f>
        <v>0</v>
      </c>
      <c r="G80" s="75">
        <f>IF(A80&lt;=$C$22,($C$5-$C$8)*(F80/$C$12)^(1/$C$11)+$C$8, ($C$29-$C$8)*(F80/$C$30)^(1/$C$11)+$C$8)</f>
        <v>0</v>
      </c>
      <c r="H80" s="162">
        <f t="shared" si="3"/>
        <v>39333.78460599915</v>
      </c>
      <c r="I80" s="162">
        <f t="shared" si="4"/>
        <v>44066.21539400085</v>
      </c>
      <c r="Y80" s="76"/>
    </row>
    <row r="81" spans="1:25" x14ac:dyDescent="0.25">
      <c r="A81" s="108">
        <f t="shared" si="5"/>
        <v>39000</v>
      </c>
      <c r="B81" s="65">
        <f t="shared" si="2"/>
        <v>42700</v>
      </c>
      <c r="C81" s="77"/>
      <c r="D81" s="72"/>
      <c r="E81" s="73">
        <f t="shared" si="6"/>
        <v>69.975221455950418</v>
      </c>
      <c r="F81" s="74">
        <f>IF(A81&lt;=$C$22,IF($C$12*(1-$C$26*(EXP(A81/$C$20)-1))&gt;0,$C$12*(1-$C$26*(EXP(A81/$C$20)-1)),0),IF($C$30*(1-$C$28*(EXP((A81-$C$22)/$C$21)-1))&gt;0,$C$30*(1-$C$28*(EXP((A81-$C$22)/$C$21)-1)),0))</f>
        <v>0</v>
      </c>
      <c r="G81" s="75">
        <f>IF(A81&lt;=$C$22,($C$5-$C$8)*(F81/$C$12)^(1/$C$11)+$C$8, ($C$29-$C$8)*(F81/$C$30)^(1/$C$11)+$C$8)</f>
        <v>0</v>
      </c>
      <c r="H81" s="162">
        <f t="shared" si="3"/>
        <v>40411.358373714007</v>
      </c>
      <c r="I81" s="162">
        <f t="shared" si="4"/>
        <v>44988.641626285993</v>
      </c>
      <c r="Y81" s="76"/>
    </row>
    <row r="82" spans="1:25" x14ac:dyDescent="0.25">
      <c r="A82" s="108">
        <f t="shared" si="5"/>
        <v>40000</v>
      </c>
      <c r="B82" s="65">
        <f t="shared" si="2"/>
        <v>43700</v>
      </c>
      <c r="C82" s="77"/>
      <c r="D82" s="72"/>
      <c r="E82" s="73">
        <f t="shared" si="6"/>
        <v>65.249026741544029</v>
      </c>
      <c r="F82" s="74">
        <f>IF(A82&lt;=$C$22,IF($C$12*(1-$C$26*(EXP(A82/$C$20)-1))&gt;0,$C$12*(1-$C$26*(EXP(A82/$C$20)-1)),0),IF($C$30*(1-$C$28*(EXP((A82-$C$22)/$C$21)-1))&gt;0,$C$30*(1-$C$28*(EXP((A82-$C$22)/$C$21)-1)),0))</f>
        <v>0</v>
      </c>
      <c r="G82" s="75">
        <f>IF(A82&lt;=$C$22,($C$5-$C$8)*(F82/$C$12)^(1/$C$11)+$C$8, ($C$29-$C$8)*(F82/$C$30)^(1/$C$11)+$C$8)</f>
        <v>0</v>
      </c>
      <c r="H82" s="162">
        <f t="shared" si="3"/>
        <v>41486.388970822867</v>
      </c>
      <c r="I82" s="162">
        <f t="shared" si="4"/>
        <v>45913.611029177133</v>
      </c>
      <c r="Y82" s="76"/>
    </row>
    <row r="83" spans="1:25" x14ac:dyDescent="0.25">
      <c r="A83" s="108">
        <f t="shared" si="5"/>
        <v>41000</v>
      </c>
      <c r="B83" s="65">
        <f t="shared" si="2"/>
        <v>44700</v>
      </c>
      <c r="C83" s="77"/>
      <c r="D83" s="72"/>
      <c r="E83" s="73">
        <f t="shared" si="6"/>
        <v>60.842043828311333</v>
      </c>
      <c r="F83" s="74">
        <f>IF(A83&lt;=$C$22,IF($C$12*(1-$C$26*(EXP(A83/$C$20)-1))&gt;0,$C$12*(1-$C$26*(EXP(A83/$C$20)-1)),0),IF($C$30*(1-$C$28*(EXP((A83-$C$22)/$C$21)-1))&gt;0,$C$30*(1-$C$28*(EXP((A83-$C$22)/$C$21)-1)),0))</f>
        <v>0</v>
      </c>
      <c r="G83" s="75">
        <f>IF(A83&lt;=$C$22,($C$5-$C$8)*(F83/$C$12)^(1/$C$11)+$C$8, ($C$29-$C$8)*(F83/$C$30)^(1/$C$11)+$C$8)</f>
        <v>0</v>
      </c>
      <c r="H83" s="162">
        <f t="shared" si="3"/>
        <v>42558.959772375332</v>
      </c>
      <c r="I83" s="162">
        <f t="shared" si="4"/>
        <v>46841.040227624668</v>
      </c>
      <c r="Y83" s="76"/>
    </row>
    <row r="84" spans="1:25" x14ac:dyDescent="0.25">
      <c r="A84" s="108">
        <f t="shared" si="5"/>
        <v>42000</v>
      </c>
      <c r="B84" s="65">
        <f t="shared" si="2"/>
        <v>45700</v>
      </c>
      <c r="C84" s="77"/>
      <c r="D84" s="72"/>
      <c r="E84" s="73">
        <f t="shared" si="6"/>
        <v>56.732712839826199</v>
      </c>
      <c r="F84" s="74">
        <f>IF(A84&lt;=$C$22,IF($C$12*(1-$C$26*(EXP(A84/$C$20)-1))&gt;0,$C$12*(1-$C$26*(EXP(A84/$C$20)-1)),0),IF($C$30*(1-$C$28*(EXP((A84-$C$22)/$C$21)-1))&gt;0,$C$30*(1-$C$28*(EXP((A84-$C$22)/$C$21)-1)),0))</f>
        <v>0</v>
      </c>
      <c r="G84" s="75">
        <f>IF(A84&lt;=$C$22,($C$5-$C$8)*(F84/$C$12)^(1/$C$11)+$C$8, ($C$29-$C$8)*(F84/$C$30)^(1/$C$11)+$C$8)</f>
        <v>0</v>
      </c>
      <c r="H84" s="162">
        <f t="shared" si="3"/>
        <v>43629.15142006176</v>
      </c>
      <c r="I84" s="162">
        <f t="shared" si="4"/>
        <v>47770.84857993824</v>
      </c>
      <c r="T84" s="76"/>
      <c r="U84" s="76"/>
      <c r="V84" s="76"/>
      <c r="W84" s="76"/>
      <c r="X84" s="76"/>
    </row>
    <row r="85" spans="1:25" x14ac:dyDescent="0.25">
      <c r="A85" s="108">
        <f t="shared" si="5"/>
        <v>43000</v>
      </c>
      <c r="B85" s="65">
        <f t="shared" si="2"/>
        <v>46700</v>
      </c>
      <c r="C85" s="77"/>
      <c r="D85" s="72"/>
      <c r="E85" s="73">
        <f t="shared" si="6"/>
        <v>52.900930074746839</v>
      </c>
      <c r="F85" s="74">
        <f>IF(A85&lt;=$C$22,IF($C$12*(1-$C$26*(EXP(A85/$C$20)-1))&gt;0,$C$12*(1-$C$26*(EXP(A85/$C$20)-1)),0),IF($C$30*(1-$C$28*(EXP((A85-$C$22)/$C$21)-1))&gt;0,$C$30*(1-$C$28*(EXP((A85-$C$22)/$C$21)-1)),0))</f>
        <v>0</v>
      </c>
      <c r="G85" s="75">
        <f>IF(A85&lt;=$C$22,($C$5-$C$8)*(F85/$C$12)^(1/$C$11)+$C$8, ($C$29-$C$8)*(F85/$C$30)^(1/$C$11)+$C$8)</f>
        <v>0</v>
      </c>
      <c r="H85" s="162">
        <f t="shared" si="3"/>
        <v>44697.041911823435</v>
      </c>
      <c r="I85" s="162">
        <f t="shared" si="4"/>
        <v>48702.958088176565</v>
      </c>
      <c r="T85" s="76"/>
      <c r="U85" s="76"/>
      <c r="V85" s="76"/>
      <c r="W85" s="76"/>
      <c r="X85" s="76"/>
    </row>
    <row r="86" spans="1:25" x14ac:dyDescent="0.25">
      <c r="A86" s="108">
        <f t="shared" si="5"/>
        <v>44000</v>
      </c>
      <c r="B86" s="65">
        <f t="shared" si="2"/>
        <v>47700</v>
      </c>
      <c r="C86" s="77"/>
      <c r="D86" s="72"/>
      <c r="E86" s="73">
        <f t="shared" si="6"/>
        <v>49.327949655330244</v>
      </c>
      <c r="F86" s="74">
        <f>IF(A86&lt;=$C$22,IF($C$12*(1-$C$26*(EXP(A86/$C$20)-1))&gt;0,$C$12*(1-$C$26*(EXP(A86/$C$20)-1)),0),IF($C$30*(1-$C$28*(EXP((A86-$C$22)/$C$21)-1))&gt;0,$C$30*(1-$C$28*(EXP((A86-$C$22)/$C$21)-1)),0))</f>
        <v>0</v>
      </c>
      <c r="G86" s="75">
        <f>IF(A86&lt;=$C$22,($C$5-$C$8)*(F86/$C$12)^(1/$C$11)+$C$8, ($C$29-$C$8)*(F86/$C$30)^(1/$C$11)+$C$8)</f>
        <v>0</v>
      </c>
      <c r="H86" s="162">
        <f t="shared" si="3"/>
        <v>45762.706688524973</v>
      </c>
      <c r="I86" s="162">
        <f t="shared" si="4"/>
        <v>49637.293311475027</v>
      </c>
      <c r="T86" s="76"/>
      <c r="U86" s="76"/>
      <c r="V86" s="76"/>
      <c r="W86" s="76"/>
      <c r="X86" s="76"/>
    </row>
    <row r="87" spans="1:25" x14ac:dyDescent="0.25">
      <c r="A87" s="108">
        <f t="shared" si="5"/>
        <v>45000</v>
      </c>
      <c r="B87" s="65">
        <f t="shared" si="2"/>
        <v>48700</v>
      </c>
      <c r="C87" s="77"/>
      <c r="D87" s="72"/>
      <c r="E87" s="73">
        <f t="shared" si="6"/>
        <v>45.996291818701842</v>
      </c>
      <c r="F87" s="74">
        <f>IF(A87&lt;=$C$22,IF($C$12*(1-$C$26*(EXP(A87/$C$20)-1))&gt;0,$C$12*(1-$C$26*(EXP(A87/$C$20)-1)),0),IF($C$30*(1-$C$28*(EXP((A87-$C$22)/$C$21)-1))&gt;0,$C$30*(1-$C$28*(EXP((A87-$C$22)/$C$21)-1)),0))</f>
        <v>0</v>
      </c>
      <c r="G87" s="75">
        <f>IF(A87&lt;=$C$22,($C$5-$C$8)*(F87/$C$12)^(1/$C$11)+$C$8, ($C$29-$C$8)*(F87/$C$30)^(1/$C$11)+$C$8)</f>
        <v>0</v>
      </c>
      <c r="H87" s="162">
        <f t="shared" si="3"/>
        <v>46826.218717785254</v>
      </c>
      <c r="I87" s="162">
        <f t="shared" si="4"/>
        <v>50573.781282214746</v>
      </c>
      <c r="T87" s="76"/>
      <c r="U87" s="76"/>
      <c r="V87" s="76"/>
      <c r="W87" s="76"/>
      <c r="X87" s="76"/>
    </row>
    <row r="88" spans="1:25" x14ac:dyDescent="0.25">
      <c r="A88" s="108">
        <f t="shared" si="5"/>
        <v>46000</v>
      </c>
      <c r="B88" s="65">
        <f t="shared" si="2"/>
        <v>49700</v>
      </c>
      <c r="C88" s="77"/>
      <c r="D88" s="72"/>
      <c r="E88" s="73">
        <f t="shared" si="6"/>
        <v>42.889657402222163</v>
      </c>
      <c r="F88" s="74">
        <f>IF(A88&lt;=$C$22,IF($C$12*(1-$C$26*(EXP(A88/$C$20)-1))&gt;0,$C$12*(1-$C$26*(EXP(A88/$C$20)-1)),0),IF($C$30*(1-$C$28*(EXP((A88-$C$22)/$C$21)-1))&gt;0,$C$30*(1-$C$28*(EXP((A88-$C$22)/$C$21)-1)),0))</f>
        <v>0</v>
      </c>
      <c r="G88" s="75">
        <f>IF(A88&lt;=$C$22,($C$5-$C$8)*(F88/$C$12)^(1/$C$11)+$C$8, ($C$29-$C$8)*(F88/$C$30)^(1/$C$11)+$C$8)</f>
        <v>0</v>
      </c>
      <c r="H88" s="162">
        <f t="shared" si="3"/>
        <v>47887.648575060077</v>
      </c>
      <c r="I88" s="162">
        <f t="shared" si="4"/>
        <v>51512.351424939923</v>
      </c>
      <c r="T88" s="76"/>
      <c r="U88" s="76"/>
      <c r="V88" s="76"/>
      <c r="W88" s="76"/>
      <c r="X88" s="76"/>
    </row>
    <row r="89" spans="1:25" x14ac:dyDescent="0.25">
      <c r="A89" s="108">
        <f t="shared" si="5"/>
        <v>47000</v>
      </c>
      <c r="B89" s="65">
        <f t="shared" si="2"/>
        <v>50700</v>
      </c>
      <c r="C89" s="77"/>
      <c r="D89" s="72"/>
      <c r="E89" s="73">
        <f t="shared" si="6"/>
        <v>39.992848104595474</v>
      </c>
      <c r="F89" s="74">
        <f>IF(A89&lt;=$C$22,IF($C$12*(1-$C$26*(EXP(A89/$C$20)-1))&gt;0,$C$12*(1-$C$26*(EXP(A89/$C$20)-1)),0),IF($C$30*(1-$C$28*(EXP((A89-$C$22)/$C$21)-1))&gt;0,$C$30*(1-$C$28*(EXP((A89-$C$22)/$C$21)-1)),0))</f>
        <v>0</v>
      </c>
      <c r="G89" s="75">
        <f>IF(A89&lt;=$C$22,($C$5-$C$8)*(F89/$C$12)^(1/$C$11)+$C$8, ($C$29-$C$8)*(F89/$C$30)^(1/$C$11)+$C$8)</f>
        <v>0</v>
      </c>
      <c r="H89" s="162">
        <f t="shared" si="3"/>
        <v>48947.064522066605</v>
      </c>
      <c r="I89" s="162">
        <f t="shared" si="4"/>
        <v>52452.935477933395</v>
      </c>
      <c r="T89" s="76"/>
      <c r="U89" s="76"/>
      <c r="V89" s="76"/>
      <c r="W89" s="76"/>
      <c r="X89" s="76"/>
    </row>
    <row r="90" spans="1:25" x14ac:dyDescent="0.25">
      <c r="A90" s="108">
        <f t="shared" si="5"/>
        <v>48000</v>
      </c>
      <c r="B90" s="65">
        <f t="shared" si="2"/>
        <v>51700</v>
      </c>
      <c r="C90" s="77"/>
      <c r="D90" s="72"/>
      <c r="E90" s="73">
        <f t="shared" si="6"/>
        <v>37.291692132620717</v>
      </c>
      <c r="F90" s="74">
        <f>IF(A90&lt;=$C$22,IF($C$12*(1-$C$26*(EXP(A90/$C$20)-1))&gt;0,$C$12*(1-$C$26*(EXP(A90/$C$20)-1)),0),IF($C$30*(1-$C$28*(EXP((A90-$C$22)/$C$21)-1))&gt;0,$C$30*(1-$C$28*(EXP((A90-$C$22)/$C$21)-1)),0))</f>
        <v>0</v>
      </c>
      <c r="G90" s="75">
        <f>IF(A90&lt;=$C$22,($C$5-$C$8)*(F90/$C$12)^(1/$C$11)+$C$8, ($C$29-$C$8)*(F90/$C$30)^(1/$C$11)+$C$8)</f>
        <v>0</v>
      </c>
      <c r="H90" s="162">
        <f t="shared" si="3"/>
        <v>50004.532582636697</v>
      </c>
      <c r="I90" s="162">
        <f t="shared" si="4"/>
        <v>53395.467417363303</v>
      </c>
      <c r="T90" s="76"/>
      <c r="U90" s="76"/>
      <c r="V90" s="76"/>
      <c r="W90" s="76"/>
      <c r="X90" s="76"/>
    </row>
    <row r="91" spans="1:25" x14ac:dyDescent="0.25">
      <c r="A91" s="108">
        <f t="shared" si="5"/>
        <v>49000</v>
      </c>
      <c r="B91" s="65">
        <f t="shared" si="2"/>
        <v>52700</v>
      </c>
      <c r="C91" s="77"/>
      <c r="D91" s="72"/>
      <c r="E91" s="73">
        <f t="shared" si="6"/>
        <v>34.772974869833476</v>
      </c>
      <c r="F91" s="74">
        <f>IF(A91&lt;=$C$22,IF($C$12*(1-$C$26*(EXP(A91/$C$20)-1))&gt;0,$C$12*(1-$C$26*(EXP(A91/$C$20)-1)),0),IF($C$30*(1-$C$28*(EXP((A91-$C$22)/$C$21)-1))&gt;0,$C$30*(1-$C$28*(EXP((A91-$C$22)/$C$21)-1)),0))</f>
        <v>0</v>
      </c>
      <c r="G91" s="75">
        <f>IF(A91&lt;=$C$22,($C$5-$C$8)*(F91/$C$12)^(1/$C$11)+$C$8, ($C$29-$C$8)*(F91/$C$30)^(1/$C$11)+$C$8)</f>
        <v>0</v>
      </c>
      <c r="H91" s="162">
        <f t="shared" si="3"/>
        <v>51060.116616083571</v>
      </c>
      <c r="I91" s="162">
        <f t="shared" si="4"/>
        <v>54339.883383916429</v>
      </c>
      <c r="T91" s="76"/>
      <c r="U91" s="76"/>
      <c r="V91" s="76"/>
      <c r="W91" s="76"/>
      <c r="X91" s="76"/>
    </row>
    <row r="92" spans="1:25" x14ac:dyDescent="0.25">
      <c r="A92" s="108">
        <f t="shared" si="5"/>
        <v>50000</v>
      </c>
      <c r="B92" s="65">
        <f t="shared" si="2"/>
        <v>53700</v>
      </c>
      <c r="C92" s="77"/>
      <c r="D92" s="72"/>
      <c r="E92" s="73">
        <f t="shared" si="6"/>
        <v>32.424374227855537</v>
      </c>
      <c r="F92" s="74">
        <f>IF(A92&lt;=$C$22,IF($C$12*(1-$C$26*(EXP(A92/$C$20)-1))&gt;0,$C$12*(1-$C$26*(EXP(A92/$C$20)-1)),0),IF($C$30*(1-$C$28*(EXP((A92-$C$22)/$C$21)-1))&gt;0,$C$30*(1-$C$28*(EXP((A92-$C$22)/$C$21)-1)),0))</f>
        <v>0</v>
      </c>
      <c r="G92" s="75">
        <f>IF(A92&lt;=$C$22,($C$5-$C$8)*(F92/$C$12)^(1/$C$11)+$C$8, ($C$29-$C$8)*(F92/$C$30)^(1/$C$11)+$C$8)</f>
        <v>0</v>
      </c>
      <c r="H92" s="162">
        <f t="shared" si="3"/>
        <v>52113.87838816311</v>
      </c>
      <c r="I92" s="162">
        <f t="shared" si="4"/>
        <v>55286.12161183689</v>
      </c>
      <c r="T92" s="76"/>
      <c r="U92" s="76"/>
      <c r="V92" s="76"/>
      <c r="W92" s="76"/>
      <c r="X92" s="76"/>
    </row>
    <row r="93" spans="1:25" x14ac:dyDescent="0.25">
      <c r="A93" s="108">
        <f t="shared" si="5"/>
        <v>51000</v>
      </c>
      <c r="B93" s="65">
        <f t="shared" si="2"/>
        <v>54700</v>
      </c>
      <c r="C93" s="77"/>
      <c r="D93" s="72"/>
      <c r="E93" s="73">
        <f t="shared" si="6"/>
        <v>30.234400364177343</v>
      </c>
      <c r="F93" s="74">
        <f>IF(A93&lt;=$C$22,IF($C$12*(1-$C$26*(EXP(A93/$C$20)-1))&gt;0,$C$12*(1-$C$26*(EXP(A93/$C$20)-1)),0),IF($C$30*(1-$C$28*(EXP((A93-$C$22)/$C$21)-1))&gt;0,$C$30*(1-$C$28*(EXP((A93-$C$22)/$C$21)-1)),0))</f>
        <v>0</v>
      </c>
      <c r="G93" s="75">
        <f>IF(A93&lt;=$C$22,($C$5-$C$8)*(F93/$C$12)^(1/$C$11)+$C$8, ($C$29-$C$8)*(F93/$C$30)^(1/$C$11)+$C$8)</f>
        <v>0</v>
      </c>
      <c r="H93" s="162">
        <f t="shared" si="3"/>
        <v>53165.877639708895</v>
      </c>
      <c r="I93" s="162">
        <f t="shared" si="4"/>
        <v>56234.122360291105</v>
      </c>
      <c r="T93" s="76"/>
      <c r="U93" s="76"/>
      <c r="V93" s="76"/>
      <c r="W93" s="76"/>
      <c r="X93" s="76"/>
    </row>
    <row r="94" spans="1:25" x14ac:dyDescent="0.25">
      <c r="A94" s="108">
        <f t="shared" si="5"/>
        <v>52000</v>
      </c>
      <c r="B94" s="65">
        <f t="shared" si="2"/>
        <v>55700</v>
      </c>
      <c r="C94" s="77"/>
      <c r="D94" s="72"/>
      <c r="E94" s="73">
        <f t="shared" si="6"/>
        <v>28.192339471460144</v>
      </c>
      <c r="F94" s="74">
        <f>IF(A94&lt;=$C$22,IF($C$12*(1-$C$26*(EXP(A94/$C$20)-1))&gt;0,$C$12*(1-$C$26*(EXP(A94/$C$20)-1)),0),IF($C$30*(1-$C$28*(EXP((A94-$C$22)/$C$21)-1))&gt;0,$C$30*(1-$C$28*(EXP((A94-$C$22)/$C$21)-1)),0))</f>
        <v>0</v>
      </c>
      <c r="G94" s="75">
        <f>IF(A94&lt;=$C$22,($C$5-$C$8)*(F94/$C$12)^(1/$C$11)+$C$8, ($C$29-$C$8)*(F94/$C$30)^(1/$C$11)+$C$8)</f>
        <v>0</v>
      </c>
      <c r="H94" s="162">
        <f t="shared" si="3"/>
        <v>54216.172153016982</v>
      </c>
      <c r="I94" s="162">
        <f t="shared" si="4"/>
        <v>57183.827846983018</v>
      </c>
      <c r="T94" s="76"/>
      <c r="U94" s="76"/>
      <c r="V94" s="76"/>
      <c r="W94" s="76"/>
      <c r="X94" s="76"/>
    </row>
    <row r="95" spans="1:25" x14ac:dyDescent="0.25">
      <c r="A95" s="108">
        <f t="shared" si="5"/>
        <v>53000</v>
      </c>
      <c r="B95" s="65">
        <f t="shared" si="2"/>
        <v>56700</v>
      </c>
      <c r="C95" s="77"/>
      <c r="D95" s="72"/>
      <c r="E95" s="73">
        <f t="shared" si="6"/>
        <v>26.288201363363665</v>
      </c>
      <c r="F95" s="74">
        <f>IF(A95&lt;=$C$22,IF($C$12*(1-$C$26*(EXP(A95/$C$20)-1))&gt;0,$C$12*(1-$C$26*(EXP(A95/$C$20)-1)),0),IF($C$30*(1-$C$28*(EXP((A95-$C$22)/$C$21)-1))&gt;0,$C$30*(1-$C$28*(EXP((A95-$C$22)/$C$21)-1)),0))</f>
        <v>0</v>
      </c>
      <c r="G95" s="75">
        <f>IF(A95&lt;=$C$22,($C$5-$C$8)*(F95/$C$12)^(1/$C$11)+$C$8, ($C$29-$C$8)*(F95/$C$30)^(1/$C$11)+$C$8)</f>
        <v>0</v>
      </c>
      <c r="H95" s="162">
        <f t="shared" si="3"/>
        <v>55264.817816054478</v>
      </c>
      <c r="I95" s="162">
        <f t="shared" si="4"/>
        <v>58135.182183945522</v>
      </c>
      <c r="T95" s="76"/>
      <c r="U95" s="76"/>
      <c r="V95" s="76"/>
      <c r="W95" s="76"/>
      <c r="X95" s="76"/>
    </row>
    <row r="96" spans="1:25" x14ac:dyDescent="0.25">
      <c r="A96" s="108">
        <f t="shared" si="5"/>
        <v>54000</v>
      </c>
      <c r="B96" s="65">
        <f t="shared" si="2"/>
        <v>57700</v>
      </c>
      <c r="C96" s="77"/>
      <c r="D96" s="72"/>
      <c r="E96" s="73">
        <f t="shared" si="6"/>
        <v>24.512670600477954</v>
      </c>
      <c r="F96" s="74">
        <f>IF(A96&lt;=$C$22,IF($C$12*(1-$C$26*(EXP(A96/$C$20)-1))&gt;0,$C$12*(1-$C$26*(EXP(A96/$C$20)-1)),0),IF($C$30*(1-$C$28*(EXP((A96-$C$22)/$C$21)-1))&gt;0,$C$30*(1-$C$28*(EXP((A96-$C$22)/$C$21)-1)),0))</f>
        <v>0</v>
      </c>
      <c r="G96" s="75">
        <f>IF(A96&lt;=$C$22,($C$5-$C$8)*(F96/$C$12)^(1/$C$11)+$C$8, ($C$29-$C$8)*(F96/$C$30)^(1/$C$11)+$C$8)</f>
        <v>0</v>
      </c>
      <c r="H96" s="162">
        <f t="shared" si="3"/>
        <v>56311.868684562964</v>
      </c>
      <c r="I96" s="162">
        <f t="shared" si="4"/>
        <v>59088.131315437036</v>
      </c>
      <c r="T96" s="76"/>
      <c r="U96" s="76"/>
      <c r="V96" s="76"/>
      <c r="W96" s="76"/>
      <c r="X96" s="76"/>
    </row>
    <row r="97" spans="1:24" x14ac:dyDescent="0.25">
      <c r="A97" s="108">
        <f t="shared" si="5"/>
        <v>55000</v>
      </c>
      <c r="B97" s="65">
        <f t="shared" si="2"/>
        <v>58700</v>
      </c>
      <c r="C97" s="77"/>
      <c r="D97" s="72"/>
      <c r="E97" s="73">
        <f t="shared" ref="E97:E128" si="7">IF(A97&lt;=$C$22,$C$18*EXP(-A97/$C$20),$C$19*EXP(-(A97-$C$22)/$C$21))</f>
        <v>22.857060917257545</v>
      </c>
      <c r="F97" s="74">
        <f>IF(A97&lt;=$C$22,IF($C$12*(1-$C$26*(EXP(A97/$C$20)-1))&gt;0,$C$12*(1-$C$26*(EXP(A97/$C$20)-1)),0),IF($C$30*(1-$C$28*(EXP((A97-$C$22)/$C$21)-1))&gt;0,$C$30*(1-$C$28*(EXP((A97-$C$22)/$C$21)-1)),0))</f>
        <v>0</v>
      </c>
      <c r="G97" s="75">
        <f>IF(A97&lt;=$C$22,($C$5-$C$8)*(F97/$C$12)^(1/$C$11)+$C$8, ($C$29-$C$8)*(F97/$C$30)^(1/$C$11)+$C$8)</f>
        <v>0</v>
      </c>
      <c r="H97" s="162">
        <f t="shared" si="3"/>
        <v>57357.377042126034</v>
      </c>
      <c r="I97" s="162">
        <f t="shared" si="4"/>
        <v>60042.622957873966</v>
      </c>
      <c r="T97" s="76"/>
      <c r="U97" s="76"/>
      <c r="V97" s="76"/>
      <c r="W97" s="76"/>
      <c r="X97" s="76"/>
    </row>
    <row r="98" spans="1:24" x14ac:dyDescent="0.25">
      <c r="A98" s="108">
        <f t="shared" si="5"/>
        <v>56000</v>
      </c>
      <c r="B98" s="65">
        <f t="shared" ref="B98:B161" si="8">A98+3700</f>
        <v>59700</v>
      </c>
      <c r="C98" s="77"/>
      <c r="D98" s="72"/>
      <c r="E98" s="73">
        <f t="shared" si="7"/>
        <v>21.313272727004932</v>
      </c>
      <c r="F98" s="74">
        <f>IF(A98&lt;=$C$22,IF($C$12*(1-$C$26*(EXP(A98/$C$20)-1))&gt;0,$C$12*(1-$C$26*(EXP(A98/$C$20)-1)),0),IF($C$30*(1-$C$28*(EXP((A98-$C$22)/$C$21)-1))&gt;0,$C$30*(1-$C$28*(EXP((A98-$C$22)/$C$21)-1)),0))</f>
        <v>0</v>
      </c>
      <c r="G98" s="75">
        <f>IF(A98&lt;=$C$22,($C$5-$C$8)*(F98/$C$12)^(1/$C$11)+$C$8, ($C$29-$C$8)*(F98/$C$30)^(1/$C$11)+$C$8)</f>
        <v>0</v>
      </c>
      <c r="H98" s="162">
        <f t="shared" ref="H98:H161" si="9">IF($C$15=0,B98-$C$6/2, B98-$C$6*EXP(-B98/$C$15)/2)</f>
        <v>58401.393458267521</v>
      </c>
      <c r="I98" s="162">
        <f t="shared" ref="I98:I161" si="10">IF($C$15=0,B98+$C$6/2, B98+$C$6*EXP(-B98/$C$15)/2)</f>
        <v>60998.606541732479</v>
      </c>
      <c r="T98" s="76"/>
      <c r="U98" s="76"/>
      <c r="V98" s="76"/>
      <c r="W98" s="76"/>
      <c r="X98" s="76"/>
    </row>
    <row r="99" spans="1:24" x14ac:dyDescent="0.25">
      <c r="A99" s="108">
        <f t="shared" si="5"/>
        <v>57000</v>
      </c>
      <c r="B99" s="65">
        <f t="shared" si="8"/>
        <v>60700</v>
      </c>
      <c r="C99" s="77"/>
      <c r="D99" s="72"/>
      <c r="E99" s="73">
        <f t="shared" si="7"/>
        <v>19.873753497008892</v>
      </c>
      <c r="F99" s="74">
        <f>IF(A99&lt;=$C$22,IF($C$12*(1-$C$26*(EXP(A99/$C$20)-1))&gt;0,$C$12*(1-$C$26*(EXP(A99/$C$20)-1)),0),IF($C$30*(1-$C$28*(EXP((A99-$C$22)/$C$21)-1))&gt;0,$C$30*(1-$C$28*(EXP((A99-$C$22)/$C$21)-1)),0))</f>
        <v>0</v>
      </c>
      <c r="G99" s="75">
        <f>IF(A99&lt;=$C$22,($C$5-$C$8)*(F99/$C$12)^(1/$C$11)+$C$8, ($C$29-$C$8)*(F99/$C$30)^(1/$C$11)+$C$8)</f>
        <v>0</v>
      </c>
      <c r="H99" s="162">
        <f t="shared" si="9"/>
        <v>59443.966844645089</v>
      </c>
      <c r="I99" s="162">
        <f t="shared" si="10"/>
        <v>61956.033155354911</v>
      </c>
      <c r="T99" s="76"/>
      <c r="U99" s="76"/>
      <c r="V99" s="76"/>
      <c r="W99" s="76"/>
      <c r="X99" s="76"/>
    </row>
    <row r="100" spans="1:24" x14ac:dyDescent="0.25">
      <c r="A100" s="108">
        <f t="shared" si="5"/>
        <v>58000</v>
      </c>
      <c r="B100" s="65">
        <f t="shared" si="8"/>
        <v>61700</v>
      </c>
      <c r="C100" s="77"/>
      <c r="D100" s="72"/>
      <c r="E100" s="73">
        <f t="shared" si="7"/>
        <v>18.531460799984615</v>
      </c>
      <c r="F100" s="74">
        <f>IF(A100&lt;=$C$22,IF($C$12*(1-$C$26*(EXP(A100/$C$20)-1))&gt;0,$C$12*(1-$C$26*(EXP(A100/$C$20)-1)),0),IF($C$30*(1-$C$28*(EXP((A100-$C$22)/$C$21)-1))&gt;0,$C$30*(1-$C$28*(EXP((A100-$C$22)/$C$21)-1)),0))</f>
        <v>0</v>
      </c>
      <c r="G100" s="75">
        <f>IF(A100&lt;=$C$22,($C$5-$C$8)*(F100/$C$12)^(1/$C$11)+$C$8, ($C$29-$C$8)*(F100/$C$30)^(1/$C$11)+$C$8)</f>
        <v>0</v>
      </c>
      <c r="H100" s="162">
        <f t="shared" si="9"/>
        <v>60485.144509401514</v>
      </c>
      <c r="I100" s="162">
        <f t="shared" si="10"/>
        <v>62914.855490598486</v>
      </c>
      <c r="T100" s="76"/>
      <c r="U100" s="76"/>
      <c r="V100" s="76"/>
      <c r="W100" s="76"/>
      <c r="X100" s="76"/>
    </row>
    <row r="101" spans="1:24" x14ac:dyDescent="0.25">
      <c r="A101" s="108">
        <f t="shared" si="5"/>
        <v>59000</v>
      </c>
      <c r="B101" s="65">
        <f t="shared" si="8"/>
        <v>62700</v>
      </c>
      <c r="C101" s="77"/>
      <c r="D101" s="72"/>
      <c r="E101" s="73">
        <f t="shared" si="7"/>
        <v>17.279827861055644</v>
      </c>
      <c r="F101" s="74">
        <f>IF(A101&lt;=$C$22,IF($C$12*(1-$C$26*(EXP(A101/$C$20)-1))&gt;0,$C$12*(1-$C$26*(EXP(A101/$C$20)-1)),0),IF($C$30*(1-$C$28*(EXP((A101-$C$22)/$C$21)-1))&gt;0,$C$30*(1-$C$28*(EXP((A101-$C$22)/$C$21)-1)),0))</f>
        <v>0</v>
      </c>
      <c r="G101" s="75">
        <f>IF(A101&lt;=$C$22,($C$5-$C$8)*(F101/$C$12)^(1/$C$11)+$C$8, ($C$29-$C$8)*(F101/$C$30)^(1/$C$11)+$C$8)</f>
        <v>0</v>
      </c>
      <c r="H101" s="162">
        <f t="shared" si="9"/>
        <v>61524.97220973418</v>
      </c>
      <c r="I101" s="162">
        <f t="shared" si="10"/>
        <v>63875.02779026582</v>
      </c>
      <c r="T101" s="76"/>
      <c r="U101" s="76"/>
      <c r="V101" s="76"/>
      <c r="W101" s="76"/>
      <c r="X101" s="76"/>
    </row>
    <row r="102" spans="1:24" x14ac:dyDescent="0.25">
      <c r="A102" s="108">
        <f t="shared" si="5"/>
        <v>60000</v>
      </c>
      <c r="B102" s="65">
        <f t="shared" si="8"/>
        <v>63700</v>
      </c>
      <c r="C102" s="77"/>
      <c r="D102" s="72"/>
      <c r="E102" s="73">
        <f t="shared" si="7"/>
        <v>16.112731431726246</v>
      </c>
      <c r="F102" s="74">
        <f>IF(A102&lt;=$C$22,IF($C$12*(1-$C$26*(EXP(A102/$C$20)-1))&gt;0,$C$12*(1-$C$26*(EXP(A102/$C$20)-1)),0),IF($C$30*(1-$C$28*(EXP((A102-$C$22)/$C$21)-1))&gt;0,$C$30*(1-$C$28*(EXP((A102-$C$22)/$C$21)-1)),0))</f>
        <v>0</v>
      </c>
      <c r="G102" s="75">
        <f>IF(A102&lt;=$C$22,($C$5-$C$8)*(F102/$C$12)^(1/$C$11)+$C$8, ($C$29-$C$8)*(F102/$C$30)^(1/$C$11)+$C$8)</f>
        <v>0</v>
      </c>
      <c r="H102" s="162">
        <f t="shared" si="9"/>
        <v>62563.494202741102</v>
      </c>
      <c r="I102" s="162">
        <f t="shared" si="10"/>
        <v>64836.505797258898</v>
      </c>
      <c r="T102" s="76"/>
      <c r="U102" s="76"/>
      <c r="V102" s="76"/>
      <c r="W102" s="76"/>
      <c r="X102" s="76"/>
    </row>
    <row r="103" spans="1:24" x14ac:dyDescent="0.25">
      <c r="A103" s="108">
        <f t="shared" si="5"/>
        <v>61000</v>
      </c>
      <c r="B103" s="65">
        <f t="shared" si="8"/>
        <v>64700</v>
      </c>
      <c r="C103" s="77"/>
      <c r="D103" s="72"/>
      <c r="E103" s="73">
        <f t="shared" si="7"/>
        <v>15.024461833676998</v>
      </c>
      <c r="F103" s="74">
        <f>IF(A103&lt;=$C$22,IF($C$12*(1-$C$26*(EXP(A103/$C$20)-1))&gt;0,$C$12*(1-$C$26*(EXP(A103/$C$20)-1)),0),IF($C$30*(1-$C$28*(EXP((A103-$C$22)/$C$21)-1))&gt;0,$C$30*(1-$C$28*(EXP((A103-$C$22)/$C$21)-1)),0))</f>
        <v>0</v>
      </c>
      <c r="G103" s="75">
        <f>IF(A103&lt;=$C$22,($C$5-$C$8)*(F103/$C$12)^(1/$C$11)+$C$8, ($C$29-$C$8)*(F103/$C$30)^(1/$C$11)+$C$8)</f>
        <v>0</v>
      </c>
      <c r="H103" s="162">
        <f t="shared" si="9"/>
        <v>63600.753294600057</v>
      </c>
      <c r="I103" s="162">
        <f t="shared" si="10"/>
        <v>65799.246705399943</v>
      </c>
      <c r="T103" s="76"/>
      <c r="U103" s="76"/>
      <c r="V103" s="76"/>
      <c r="W103" s="76"/>
      <c r="X103" s="76"/>
    </row>
    <row r="104" spans="1:24" x14ac:dyDescent="0.25">
      <c r="A104" s="108">
        <f t="shared" si="5"/>
        <v>62000</v>
      </c>
      <c r="B104" s="65">
        <f t="shared" si="8"/>
        <v>65700</v>
      </c>
      <c r="C104" s="77"/>
      <c r="D104" s="72"/>
      <c r="E104" s="73">
        <f t="shared" si="7"/>
        <v>14.009695025831668</v>
      </c>
      <c r="F104" s="74">
        <f>IF(A104&lt;=$C$22,IF($C$12*(1-$C$26*(EXP(A104/$C$20)-1))&gt;0,$C$12*(1-$C$26*(EXP(A104/$C$20)-1)),0),IF($C$30*(1-$C$28*(EXP((A104-$C$22)/$C$21)-1))&gt;0,$C$30*(1-$C$28*(EXP((A104-$C$22)/$C$21)-1)),0))</f>
        <v>0</v>
      </c>
      <c r="G104" s="75">
        <f>IF(A104&lt;=$C$22,($C$5-$C$8)*(F104/$C$12)^(1/$C$11)+$C$8, ($C$29-$C$8)*(F104/$C$30)^(1/$C$11)+$C$8)</f>
        <v>0</v>
      </c>
      <c r="H104" s="162">
        <f t="shared" si="9"/>
        <v>64636.790888135372</v>
      </c>
      <c r="I104" s="162">
        <f t="shared" si="10"/>
        <v>66763.20911186462</v>
      </c>
      <c r="T104" s="76"/>
      <c r="U104" s="76"/>
      <c r="V104" s="76"/>
      <c r="W104" s="76"/>
      <c r="X104" s="76"/>
    </row>
    <row r="105" spans="1:24" x14ac:dyDescent="0.25">
      <c r="A105" s="108">
        <f t="shared" si="5"/>
        <v>63000</v>
      </c>
      <c r="B105" s="65">
        <f t="shared" si="8"/>
        <v>66700</v>
      </c>
      <c r="C105" s="77"/>
      <c r="D105" s="72"/>
      <c r="E105" s="73">
        <f t="shared" si="7"/>
        <v>13.06346655804165</v>
      </c>
      <c r="F105" s="74">
        <f>IF(A105&lt;=$C$22,IF($C$12*(1-$C$26*(EXP(A105/$C$20)-1))&gt;0,$C$12*(1-$C$26*(EXP(A105/$C$20)-1)),0),IF($C$30*(1-$C$28*(EXP((A105-$C$22)/$C$21)-1))&gt;0,$C$30*(1-$C$28*(EXP((A105-$C$22)/$C$21)-1)),0))</f>
        <v>0</v>
      </c>
      <c r="G105" s="75">
        <f>IF(A105&lt;=$C$22,($C$5-$C$8)*(F105/$C$12)^(1/$C$11)+$C$8, ($C$29-$C$8)*(F105/$C$30)^(1/$C$11)+$C$8)</f>
        <v>0</v>
      </c>
      <c r="H105" s="162">
        <f t="shared" si="9"/>
        <v>65671.647028825362</v>
      </c>
      <c r="I105" s="162">
        <f t="shared" si="10"/>
        <v>67728.352971174638</v>
      </c>
      <c r="T105" s="76"/>
      <c r="U105" s="76"/>
      <c r="V105" s="76"/>
      <c r="W105" s="76"/>
      <c r="X105" s="76"/>
    </row>
    <row r="106" spans="1:24" x14ac:dyDescent="0.25">
      <c r="A106" s="108">
        <f t="shared" si="5"/>
        <v>64000</v>
      </c>
      <c r="B106" s="65">
        <f t="shared" si="8"/>
        <v>67700</v>
      </c>
      <c r="C106" s="77"/>
      <c r="D106" s="72"/>
      <c r="E106" s="73">
        <f t="shared" si="7"/>
        <v>12.18114728396394</v>
      </c>
      <c r="F106" s="74">
        <f>IF(A106&lt;=$C$22,IF($C$12*(1-$C$26*(EXP(A106/$C$20)-1))&gt;0,$C$12*(1-$C$26*(EXP(A106/$C$20)-1)),0),IF($C$30*(1-$C$28*(EXP((A106-$C$22)/$C$21)-1))&gt;0,$C$30*(1-$C$28*(EXP((A106-$C$22)/$C$21)-1)),0))</f>
        <v>0</v>
      </c>
      <c r="G106" s="75">
        <f>IF(A106&lt;=$C$22,($C$5-$C$8)*(F106/$C$12)^(1/$C$11)+$C$8, ($C$29-$C$8)*(F106/$C$30)^(1/$C$11)+$C$8)</f>
        <v>0</v>
      </c>
      <c r="H106" s="162">
        <f t="shared" si="9"/>
        <v>66705.360449301385</v>
      </c>
      <c r="I106" s="162">
        <f t="shared" si="10"/>
        <v>68694.639550698615</v>
      </c>
      <c r="T106" s="76"/>
      <c r="U106" s="76"/>
      <c r="V106" s="76"/>
      <c r="W106" s="76"/>
      <c r="X106" s="76"/>
    </row>
    <row r="107" spans="1:24" x14ac:dyDescent="0.25">
      <c r="A107" s="108">
        <f t="shared" si="5"/>
        <v>65000</v>
      </c>
      <c r="B107" s="65">
        <f t="shared" si="8"/>
        <v>68700</v>
      </c>
      <c r="C107" s="77"/>
      <c r="D107" s="72"/>
      <c r="E107" s="73">
        <f t="shared" si="7"/>
        <v>11.35842071431504</v>
      </c>
      <c r="F107" s="74">
        <f>IF(A107&lt;=$C$22,IF($C$12*(1-$C$26*(EXP(A107/$C$20)-1))&gt;0,$C$12*(1-$C$26*(EXP(A107/$C$20)-1)),0),IF($C$30*(1-$C$28*(EXP((A107-$C$22)/$C$21)-1))&gt;0,$C$30*(1-$C$28*(EXP((A107-$C$22)/$C$21)-1)),0))</f>
        <v>0</v>
      </c>
      <c r="G107" s="75">
        <f>IF(A107&lt;=$C$22,($C$5-$C$8)*(F107/$C$12)^(1/$C$11)+$C$8, ($C$29-$C$8)*(F107/$C$30)^(1/$C$11)+$C$8)</f>
        <v>0</v>
      </c>
      <c r="H107" s="162">
        <f t="shared" si="9"/>
        <v>67737.968612388111</v>
      </c>
      <c r="I107" s="162">
        <f t="shared" si="10"/>
        <v>69662.031387611889</v>
      </c>
      <c r="T107" s="76"/>
      <c r="U107" s="76"/>
      <c r="V107" s="76"/>
      <c r="W107" s="76"/>
      <c r="X107" s="76"/>
    </row>
    <row r="108" spans="1:24" x14ac:dyDescent="0.25">
      <c r="A108" s="108">
        <f t="shared" si="5"/>
        <v>66000</v>
      </c>
      <c r="B108" s="65">
        <f t="shared" si="8"/>
        <v>69700</v>
      </c>
      <c r="C108" s="77"/>
      <c r="D108" s="72"/>
      <c r="E108" s="73">
        <f t="shared" si="7"/>
        <v>10.591261899708183</v>
      </c>
      <c r="F108" s="74">
        <f>IF(A108&lt;=$C$22,IF($C$12*(1-$C$26*(EXP(A108/$C$20)-1))&gt;0,$C$12*(1-$C$26*(EXP(A108/$C$20)-1)),0),IF($C$30*(1-$C$28*(EXP((A108-$C$22)/$C$21)-1))&gt;0,$C$30*(1-$C$28*(EXP((A108-$C$22)/$C$21)-1)),0))</f>
        <v>0</v>
      </c>
      <c r="G108" s="75">
        <f>IF(A108&lt;=$C$22,($C$5-$C$8)*(F108/$C$12)^(1/$C$11)+$C$8, ($C$29-$C$8)*(F108/$C$30)^(1/$C$11)+$C$8)</f>
        <v>0</v>
      </c>
      <c r="H108" s="162">
        <f t="shared" si="9"/>
        <v>68769.507752732738</v>
      </c>
      <c r="I108" s="162">
        <f t="shared" si="10"/>
        <v>70630.492247267262</v>
      </c>
      <c r="T108" s="76"/>
      <c r="U108" s="76"/>
      <c r="V108" s="76"/>
      <c r="W108" s="76"/>
      <c r="X108" s="76"/>
    </row>
    <row r="109" spans="1:24" x14ac:dyDescent="0.25">
      <c r="A109" s="108">
        <f t="shared" ref="A109:A168" si="11">A108+$C$4</f>
        <v>67000</v>
      </c>
      <c r="B109" s="65">
        <f t="shared" si="8"/>
        <v>70700</v>
      </c>
      <c r="C109" s="77"/>
      <c r="D109" s="72"/>
      <c r="E109" s="73">
        <f t="shared" si="7"/>
        <v>9.8759177397642919</v>
      </c>
      <c r="F109" s="74">
        <f>IF(A109&lt;=$C$22,IF($C$12*(1-$C$26*(EXP(A109/$C$20)-1))&gt;0,$C$12*(1-$C$26*(EXP(A109/$C$20)-1)),0),IF($C$30*(1-$C$28*(EXP((A109-$C$22)/$C$21)-1))&gt;0,$C$30*(1-$C$28*(EXP((A109-$C$22)/$C$21)-1)),0))</f>
        <v>0</v>
      </c>
      <c r="G109" s="75">
        <f>IF(A109&lt;=$C$22,($C$5-$C$8)*(F109/$C$12)^(1/$C$11)+$C$8, ($C$29-$C$8)*(F109/$C$30)^(1/$C$11)+$C$8)</f>
        <v>0</v>
      </c>
      <c r="H109" s="162">
        <f t="shared" si="9"/>
        <v>69800.012917069413</v>
      </c>
      <c r="I109" s="162">
        <f t="shared" si="10"/>
        <v>71599.987082930587</v>
      </c>
      <c r="T109" s="76"/>
      <c r="U109" s="76"/>
      <c r="V109" s="76"/>
      <c r="W109" s="76"/>
      <c r="X109" s="76"/>
    </row>
    <row r="110" spans="1:24" x14ac:dyDescent="0.25">
      <c r="A110" s="108">
        <f t="shared" si="11"/>
        <v>68000</v>
      </c>
      <c r="B110" s="65">
        <f t="shared" si="8"/>
        <v>71700</v>
      </c>
      <c r="C110" s="77"/>
      <c r="D110" s="72"/>
      <c r="E110" s="73">
        <f t="shared" si="7"/>
        <v>9.208888622164876</v>
      </c>
      <c r="F110" s="74">
        <f>IF(A110&lt;=$C$22,IF($C$12*(1-$C$26*(EXP(A110/$C$20)-1))&gt;0,$C$12*(1-$C$26*(EXP(A110/$C$20)-1)),0),IF($C$30*(1-$C$28*(EXP((A110-$C$22)/$C$21)-1))&gt;0,$C$30*(1-$C$28*(EXP((A110-$C$22)/$C$21)-1)),0))</f>
        <v>0</v>
      </c>
      <c r="G110" s="75">
        <f>IF(A110&lt;=$C$22,($C$5-$C$8)*(F110/$C$12)^(1/$C$11)+$C$8, ($C$29-$C$8)*(F110/$C$30)^(1/$C$11)+$C$8)</f>
        <v>0</v>
      </c>
      <c r="H110" s="162">
        <f t="shared" si="9"/>
        <v>70829.518003163699</v>
      </c>
      <c r="I110" s="162">
        <f t="shared" si="10"/>
        <v>72570.481996836301</v>
      </c>
      <c r="T110" s="76"/>
      <c r="U110" s="76"/>
      <c r="V110" s="76"/>
      <c r="W110" s="76"/>
      <c r="X110" s="76"/>
    </row>
    <row r="111" spans="1:24" x14ac:dyDescent="0.25">
      <c r="A111" s="108">
        <f t="shared" si="11"/>
        <v>69000</v>
      </c>
      <c r="B111" s="65">
        <f t="shared" si="8"/>
        <v>72700</v>
      </c>
      <c r="C111" s="77"/>
      <c r="D111" s="72"/>
      <c r="E111" s="73">
        <f t="shared" si="7"/>
        <v>8.5869113018211216</v>
      </c>
      <c r="F111" s="74">
        <f>IF(A111&lt;=$C$22,IF($C$12*(1-$C$26*(EXP(A111/$C$20)-1))&gt;0,$C$12*(1-$C$26*(EXP(A111/$C$20)-1)),0),IF($C$30*(1-$C$28*(EXP((A111-$C$22)/$C$21)-1))&gt;0,$C$30*(1-$C$28*(EXP((A111-$C$22)/$C$21)-1)),0))</f>
        <v>0</v>
      </c>
      <c r="G111" s="75">
        <f>IF(A111&lt;=$C$22,($C$5-$C$8)*(F111/$C$12)^(1/$C$11)+$C$8, ($C$29-$C$8)*(F111/$C$30)^(1/$C$11)+$C$8)</f>
        <v>0</v>
      </c>
      <c r="H111" s="162">
        <f t="shared" si="9"/>
        <v>71858.055797480207</v>
      </c>
      <c r="I111" s="162">
        <f t="shared" si="10"/>
        <v>73541.944202519793</v>
      </c>
      <c r="T111" s="76"/>
      <c r="U111" s="76"/>
      <c r="V111" s="76"/>
      <c r="W111" s="76"/>
      <c r="X111" s="76"/>
    </row>
    <row r="112" spans="1:24" x14ac:dyDescent="0.25">
      <c r="A112" s="108">
        <f t="shared" si="11"/>
        <v>70000</v>
      </c>
      <c r="B112" s="65">
        <f t="shared" si="8"/>
        <v>73700</v>
      </c>
      <c r="C112" s="77"/>
      <c r="D112" s="72"/>
      <c r="E112" s="73">
        <f t="shared" si="7"/>
        <v>8.0069429364006428</v>
      </c>
      <c r="F112" s="74">
        <f>IF(A112&lt;=$C$22,IF($C$12*(1-$C$26*(EXP(A112/$C$20)-1))&gt;0,$C$12*(1-$C$26*(EXP(A112/$C$20)-1)),0),IF($C$30*(1-$C$28*(EXP((A112-$C$22)/$C$21)-1))&gt;0,$C$30*(1-$C$28*(EXP((A112-$C$22)/$C$21)-1)),0))</f>
        <v>0</v>
      </c>
      <c r="G112" s="75">
        <f>IF(A112&lt;=$C$22,($C$5-$C$8)*(F112/$C$12)^(1/$C$11)+$C$8, ($C$29-$C$8)*(F112/$C$30)^(1/$C$11)+$C$8)</f>
        <v>0</v>
      </c>
      <c r="H112" s="162">
        <f t="shared" si="9"/>
        <v>72885.658011615378</v>
      </c>
      <c r="I112" s="162">
        <f t="shared" si="10"/>
        <v>74514.341988384622</v>
      </c>
      <c r="T112" s="76"/>
      <c r="U112" s="76"/>
      <c r="V112" s="76"/>
      <c r="W112" s="76"/>
      <c r="X112" s="76"/>
    </row>
    <row r="113" spans="1:24" x14ac:dyDescent="0.25">
      <c r="A113" s="108">
        <f t="shared" si="11"/>
        <v>71000</v>
      </c>
      <c r="B113" s="65">
        <f t="shared" si="8"/>
        <v>74700</v>
      </c>
      <c r="C113" s="77"/>
      <c r="D113" s="72"/>
      <c r="E113" s="73">
        <f t="shared" si="7"/>
        <v>7.4661462001103232</v>
      </c>
      <c r="F113" s="74">
        <f>IF(A113&lt;=$C$22,IF($C$12*(1-$C$26*(EXP(A113/$C$20)-1))&gt;0,$C$12*(1-$C$26*(EXP(A113/$C$20)-1)),0),IF($C$30*(1-$C$28*(EXP((A113-$C$22)/$C$21)-1))&gt;0,$C$30*(1-$C$28*(EXP((A113-$C$22)/$C$21)-1)),0))</f>
        <v>0</v>
      </c>
      <c r="G113" s="75">
        <f>IF(A113&lt;=$C$22,($C$5-$C$8)*(F113/$C$12)^(1/$C$11)+$C$8, ($C$29-$C$8)*(F113/$C$30)^(1/$C$11)+$C$8)</f>
        <v>0</v>
      </c>
      <c r="H113" s="162">
        <f t="shared" si="9"/>
        <v>73912.355317535854</v>
      </c>
      <c r="I113" s="162">
        <f t="shared" si="10"/>
        <v>75487.644682464146</v>
      </c>
      <c r="T113" s="76"/>
      <c r="U113" s="76"/>
      <c r="V113" s="76"/>
      <c r="W113" s="76"/>
      <c r="X113" s="76"/>
    </row>
    <row r="114" spans="1:24" x14ac:dyDescent="0.25">
      <c r="A114" s="108">
        <f t="shared" si="11"/>
        <v>72000</v>
      </c>
      <c r="B114" s="65">
        <f t="shared" si="8"/>
        <v>75700</v>
      </c>
      <c r="C114" s="77"/>
      <c r="D114" s="72"/>
      <c r="E114" s="73">
        <f t="shared" si="7"/>
        <v>6.9618754029087784</v>
      </c>
      <c r="F114" s="74">
        <f>IF(A114&lt;=$C$22,IF($C$12*(1-$C$26*(EXP(A114/$C$20)-1))&gt;0,$C$12*(1-$C$26*(EXP(A114/$C$20)-1)),0),IF($C$30*(1-$C$28*(EXP((A114-$C$22)/$C$21)-1))&gt;0,$C$30*(1-$C$28*(EXP((A114-$C$22)/$C$21)-1)),0))</f>
        <v>0</v>
      </c>
      <c r="G114" s="75">
        <f>IF(A114&lt;=$C$22,($C$5-$C$8)*(F114/$C$12)^(1/$C$11)+$C$8, ($C$29-$C$8)*(F114/$C$30)^(1/$C$11)+$C$8)</f>
        <v>0</v>
      </c>
      <c r="H114" s="162">
        <f t="shared" si="9"/>
        <v>74938.177381661648</v>
      </c>
      <c r="I114" s="162">
        <f t="shared" si="10"/>
        <v>76461.822618338352</v>
      </c>
      <c r="J114" s="76"/>
      <c r="K114" s="76"/>
      <c r="L114" s="76"/>
      <c r="M114" s="76"/>
      <c r="N114" s="78"/>
      <c r="O114" s="78"/>
      <c r="P114" s="78"/>
      <c r="Q114" s="78"/>
      <c r="R114" s="76"/>
      <c r="S114" s="78"/>
      <c r="T114" s="76"/>
      <c r="U114" s="76"/>
      <c r="V114" s="76"/>
      <c r="W114" s="76"/>
      <c r="X114" s="76"/>
    </row>
    <row r="115" spans="1:24" x14ac:dyDescent="0.25">
      <c r="A115" s="108">
        <f t="shared" si="11"/>
        <v>73000</v>
      </c>
      <c r="B115" s="65">
        <f t="shared" si="8"/>
        <v>76700</v>
      </c>
      <c r="C115" s="77"/>
      <c r="D115" s="72"/>
      <c r="E115" s="73">
        <f t="shared" si="7"/>
        <v>6.4916635472407549</v>
      </c>
      <c r="F115" s="74">
        <f>IF(A115&lt;=$C$22,IF($C$12*(1-$C$26*(EXP(A115/$C$20)-1))&gt;0,$C$12*(1-$C$26*(EXP(A115/$C$20)-1)),0),IF($C$30*(1-$C$28*(EXP((A115-$C$22)/$C$21)-1))&gt;0,$C$30*(1-$C$28*(EXP((A115-$C$22)/$C$21)-1)),0))</f>
        <v>0</v>
      </c>
      <c r="G115" s="75">
        <f>IF(A115&lt;=$C$22,($C$5-$C$8)*(F115/$C$12)^(1/$C$11)+$C$8, ($C$29-$C$8)*(F115/$C$30)^(1/$C$11)+$C$8)</f>
        <v>0</v>
      </c>
      <c r="H115" s="162">
        <f t="shared" si="9"/>
        <v>75963.15289783178</v>
      </c>
      <c r="I115" s="162">
        <f t="shared" si="10"/>
        <v>77436.84710216822</v>
      </c>
      <c r="J115" s="76"/>
      <c r="K115" s="76"/>
      <c r="L115" s="76"/>
      <c r="M115" s="76"/>
      <c r="N115" s="78"/>
      <c r="O115" s="78"/>
      <c r="P115" s="78"/>
      <c r="Q115" s="78"/>
      <c r="R115" s="76"/>
      <c r="S115" s="78"/>
      <c r="T115" s="76"/>
      <c r="U115" s="76"/>
      <c r="V115" s="76"/>
      <c r="W115" s="76"/>
      <c r="X115" s="76"/>
    </row>
    <row r="116" spans="1:24" x14ac:dyDescent="0.25">
      <c r="A116" s="108">
        <f t="shared" si="11"/>
        <v>74000</v>
      </c>
      <c r="B116" s="65">
        <f t="shared" si="8"/>
        <v>77700</v>
      </c>
      <c r="C116" s="77"/>
      <c r="D116" s="72"/>
      <c r="E116" s="73">
        <f t="shared" si="7"/>
        <v>6.053210258972312</v>
      </c>
      <c r="F116" s="74">
        <f>IF(A116&lt;=$C$22,IF($C$12*(1-$C$26*(EXP(A116/$C$20)-1))&gt;0,$C$12*(1-$C$26*(EXP(A116/$C$20)-1)),0),IF($C$30*(1-$C$28*(EXP((A116-$C$22)/$C$21)-1))&gt;0,$C$30*(1-$C$28*(EXP((A116-$C$22)/$C$21)-1)),0))</f>
        <v>0</v>
      </c>
      <c r="G116" s="75">
        <f>IF(A116&lt;=$C$22,($C$5-$C$8)*(F116/$C$12)^(1/$C$11)+$C$8, ($C$29-$C$8)*(F116/$C$30)^(1/$C$11)+$C$8)</f>
        <v>0</v>
      </c>
      <c r="H116" s="162">
        <f t="shared" si="9"/>
        <v>76987.3096191894</v>
      </c>
      <c r="I116" s="162">
        <f t="shared" si="10"/>
        <v>78412.6903808106</v>
      </c>
      <c r="J116" s="76"/>
      <c r="K116" s="76"/>
      <c r="L116" s="76"/>
      <c r="M116" s="76"/>
      <c r="N116" s="78"/>
      <c r="O116" s="78"/>
      <c r="P116" s="78"/>
      <c r="Q116" s="78"/>
      <c r="R116" s="76"/>
      <c r="S116" s="78"/>
      <c r="T116" s="76"/>
      <c r="U116" s="76"/>
      <c r="V116" s="76"/>
      <c r="W116" s="76"/>
      <c r="X116" s="76"/>
    </row>
    <row r="117" spans="1:24" x14ac:dyDescent="0.25">
      <c r="A117" s="108">
        <f t="shared" si="11"/>
        <v>75000</v>
      </c>
      <c r="B117" s="65">
        <f t="shared" si="8"/>
        <v>78700</v>
      </c>
      <c r="C117" s="77"/>
      <c r="D117" s="72"/>
      <c r="E117" s="73">
        <f t="shared" si="7"/>
        <v>5.644370533482415</v>
      </c>
      <c r="F117" s="74">
        <f>IF(A117&lt;=$C$22,IF($C$12*(1-$C$26*(EXP(A117/$C$20)-1))&gt;0,$C$12*(1-$C$26*(EXP(A117/$C$20)-1)),0),IF($C$30*(1-$C$28*(EXP((A117-$C$22)/$C$21)-1))&gt;0,$C$30*(1-$C$28*(EXP((A117-$C$22)/$C$21)-1)),0))</f>
        <v>0</v>
      </c>
      <c r="G117" s="75">
        <f>IF(A117&lt;=$C$22,($C$5-$C$8)*(F117/$C$12)^(1/$C$11)+$C$8, ($C$29-$C$8)*(F117/$C$30)^(1/$C$11)+$C$8)</f>
        <v>0</v>
      </c>
      <c r="H117" s="162">
        <f t="shared" si="9"/>
        <v>78010.674389021326</v>
      </c>
      <c r="I117" s="162">
        <f t="shared" si="10"/>
        <v>79389.325610978674</v>
      </c>
      <c r="J117" s="76"/>
      <c r="K117" s="76"/>
      <c r="L117" s="76"/>
      <c r="M117" s="76"/>
      <c r="N117" s="78"/>
      <c r="O117" s="78"/>
      <c r="P117" s="78"/>
      <c r="Q117" s="78"/>
      <c r="R117" s="76"/>
      <c r="S117" s="78"/>
      <c r="T117" s="76"/>
      <c r="U117" s="76"/>
      <c r="V117" s="76"/>
      <c r="W117" s="76"/>
      <c r="X117" s="76"/>
    </row>
    <row r="118" spans="1:24" x14ac:dyDescent="0.25">
      <c r="A118" s="108">
        <f t="shared" si="11"/>
        <v>76000</v>
      </c>
      <c r="B118" s="65">
        <f t="shared" si="8"/>
        <v>79700</v>
      </c>
      <c r="C118" s="77"/>
      <c r="D118" s="72"/>
      <c r="E118" s="73">
        <f t="shared" si="7"/>
        <v>5.2631442418544765</v>
      </c>
      <c r="F118" s="74">
        <f>IF(A118&lt;=$C$22,IF($C$12*(1-$C$26*(EXP(A118/$C$20)-1))&gt;0,$C$12*(1-$C$26*(EXP(A118/$C$20)-1)),0),IF($C$30*(1-$C$28*(EXP((A118-$C$22)/$C$21)-1))&gt;0,$C$30*(1-$C$28*(EXP((A118-$C$22)/$C$21)-1)),0))</f>
        <v>0</v>
      </c>
      <c r="G118" s="75">
        <f>IF(A118&lt;=$C$22,($C$5-$C$8)*(F118/$C$12)^(1/$C$11)+$C$8, ($C$29-$C$8)*(F118/$C$30)^(1/$C$11)+$C$8)</f>
        <v>0</v>
      </c>
      <c r="H118" s="162">
        <f t="shared" si="9"/>
        <v>79033.273170586835</v>
      </c>
      <c r="I118" s="162">
        <f t="shared" si="10"/>
        <v>80366.726829413165</v>
      </c>
      <c r="J118" s="76"/>
      <c r="K118" s="76"/>
      <c r="L118" s="76"/>
      <c r="M118" s="76"/>
      <c r="N118" s="78"/>
      <c r="O118" s="78"/>
      <c r="P118" s="78"/>
      <c r="Q118" s="78"/>
      <c r="R118" s="76"/>
      <c r="S118" s="78"/>
      <c r="T118" s="76"/>
      <c r="U118" s="76"/>
      <c r="V118" s="76"/>
      <c r="W118" s="76"/>
      <c r="X118" s="76"/>
    </row>
    <row r="119" spans="1:24" x14ac:dyDescent="0.25">
      <c r="A119" s="108">
        <f t="shared" si="11"/>
        <v>77000</v>
      </c>
      <c r="B119" s="65">
        <f t="shared" si="8"/>
        <v>80700</v>
      </c>
      <c r="C119" s="77"/>
      <c r="D119" s="72"/>
      <c r="E119" s="73">
        <f t="shared" si="7"/>
        <v>4.9076663458299565</v>
      </c>
      <c r="F119" s="74">
        <f>IF(A119&lt;=$C$22,IF($C$12*(1-$C$26*(EXP(A119/$C$20)-1))&gt;0,$C$12*(1-$C$26*(EXP(A119/$C$20)-1)),0),IF($C$30*(1-$C$28*(EXP((A119-$C$22)/$C$21)-1))&gt;0,$C$30*(1-$C$28*(EXP((A119-$C$22)/$C$21)-1)),0))</f>
        <v>0</v>
      </c>
      <c r="G119" s="75">
        <f>IF(A119&lt;=$C$22,($C$5-$C$8)*(F119/$C$12)^(1/$C$11)+$C$8, ($C$29-$C$8)*(F119/$C$30)^(1/$C$11)+$C$8)</f>
        <v>0</v>
      </c>
      <c r="H119" s="162">
        <f t="shared" si="9"/>
        <v>80055.131075968267</v>
      </c>
      <c r="I119" s="162">
        <f t="shared" si="10"/>
        <v>81344.868924031733</v>
      </c>
      <c r="J119" s="76"/>
      <c r="K119" s="76"/>
      <c r="L119" s="76"/>
      <c r="M119" s="76"/>
      <c r="N119" s="78"/>
      <c r="O119" s="78"/>
      <c r="P119" s="78"/>
      <c r="Q119" s="78"/>
      <c r="R119" s="76"/>
      <c r="S119" s="78"/>
      <c r="T119" s="76"/>
      <c r="U119" s="76"/>
      <c r="V119" s="76"/>
      <c r="W119" s="76"/>
      <c r="X119" s="76"/>
    </row>
    <row r="120" spans="1:24" x14ac:dyDescent="0.25">
      <c r="A120" s="108">
        <f t="shared" si="11"/>
        <v>78000</v>
      </c>
      <c r="B120" s="65">
        <f t="shared" si="8"/>
        <v>81700</v>
      </c>
      <c r="C120" s="77"/>
      <c r="D120" s="72"/>
      <c r="E120" s="73">
        <f t="shared" si="7"/>
        <v>4.5761977736535551</v>
      </c>
      <c r="F120" s="74">
        <f>IF(A120&lt;=$C$22,IF($C$12*(1-$C$26*(EXP(A120/$C$20)-1))&gt;0,$C$12*(1-$C$26*(EXP(A120/$C$20)-1)),0),IF($C$30*(1-$C$28*(EXP((A120-$C$22)/$C$21)-1))&gt;0,$C$30*(1-$C$28*(EXP((A120-$C$22)/$C$21)-1)),0))</f>
        <v>0</v>
      </c>
      <c r="G120" s="75">
        <f>IF(A120&lt;=$C$22,($C$5-$C$8)*(F120/$C$12)^(1/$C$11)+$C$8, ($C$29-$C$8)*(F120/$C$30)^(1/$C$11)+$C$8)</f>
        <v>0</v>
      </c>
      <c r="H120" s="162">
        <f t="shared" si="9"/>
        <v>81076.272393976004</v>
      </c>
      <c r="I120" s="162">
        <f t="shared" si="10"/>
        <v>82323.727606023996</v>
      </c>
      <c r="J120" s="76"/>
      <c r="K120" s="76"/>
      <c r="L120" s="76"/>
      <c r="M120" s="76"/>
      <c r="N120" s="78"/>
      <c r="O120" s="78"/>
      <c r="P120" s="78"/>
      <c r="Q120" s="78"/>
      <c r="R120" s="76"/>
      <c r="S120" s="78"/>
      <c r="T120" s="76"/>
      <c r="U120" s="76"/>
      <c r="V120" s="76"/>
      <c r="W120" s="76"/>
      <c r="X120" s="76"/>
    </row>
    <row r="121" spans="1:24" x14ac:dyDescent="0.25">
      <c r="A121" s="108">
        <f t="shared" si="11"/>
        <v>79000</v>
      </c>
      <c r="B121" s="65">
        <f t="shared" si="8"/>
        <v>82700</v>
      </c>
      <c r="C121" s="77"/>
      <c r="D121" s="72"/>
      <c r="E121" s="73">
        <f t="shared" si="7"/>
        <v>4.2671169121726864</v>
      </c>
      <c r="F121" s="74">
        <f>IF(A121&lt;=$C$22,IF($C$12*(1-$C$26*(EXP(A121/$C$20)-1))&gt;0,$C$12*(1-$C$26*(EXP(A121/$C$20)-1)),0),IF($C$30*(1-$C$28*(EXP((A121-$C$22)/$C$21)-1))&gt;0,$C$30*(1-$C$28*(EXP((A121-$C$22)/$C$21)-1)),0))</f>
        <v>0</v>
      </c>
      <c r="G121" s="75">
        <f>IF(A121&lt;=$C$22,($C$5-$C$8)*(F121/$C$12)^(1/$C$11)+$C$8, ($C$29-$C$8)*(F121/$C$30)^(1/$C$11)+$C$8)</f>
        <v>0</v>
      </c>
      <c r="H121" s="162">
        <f t="shared" si="9"/>
        <v>82096.72061713849</v>
      </c>
      <c r="I121" s="162">
        <f t="shared" si="10"/>
        <v>83303.27938286151</v>
      </c>
      <c r="J121" s="76"/>
      <c r="K121" s="76"/>
      <c r="L121" s="76"/>
      <c r="M121" s="76"/>
      <c r="N121" s="78"/>
      <c r="O121" s="78"/>
      <c r="P121" s="78"/>
      <c r="Q121" s="78"/>
      <c r="R121" s="76"/>
      <c r="S121" s="78"/>
      <c r="T121" s="76"/>
      <c r="U121" s="76"/>
      <c r="V121" s="76"/>
      <c r="W121" s="76"/>
      <c r="X121" s="76"/>
    </row>
    <row r="122" spans="1:24" x14ac:dyDescent="0.25">
      <c r="A122" s="108">
        <f t="shared" si="11"/>
        <v>80000</v>
      </c>
      <c r="B122" s="65">
        <f t="shared" si="8"/>
        <v>83700</v>
      </c>
      <c r="C122" s="77"/>
      <c r="D122" s="72"/>
      <c r="E122" s="73">
        <f t="shared" si="7"/>
        <v>3.9789116735689039</v>
      </c>
      <c r="F122" s="74">
        <f>IF(A122&lt;=$C$22,IF($C$12*(1-$C$26*(EXP(A122/$C$20)-1))&gt;0,$C$12*(1-$C$26*(EXP(A122/$C$20)-1)),0),IF($C$30*(1-$C$28*(EXP((A122-$C$22)/$C$21)-1))&gt;0,$C$30*(1-$C$28*(EXP((A122-$C$22)/$C$21)-1)),0))</f>
        <v>0</v>
      </c>
      <c r="G122" s="75">
        <f>IF(A122&lt;=$C$22,($C$5-$C$8)*(F122/$C$12)^(1/$C$11)+$C$8, ($C$29-$C$8)*(F122/$C$30)^(1/$C$11)+$C$8)</f>
        <v>0</v>
      </c>
      <c r="H122" s="162">
        <f t="shared" si="9"/>
        <v>83116.498467807498</v>
      </c>
      <c r="I122" s="162">
        <f t="shared" si="10"/>
        <v>84283.501532192502</v>
      </c>
      <c r="J122" s="76"/>
      <c r="K122" s="76"/>
      <c r="L122" s="76"/>
      <c r="M122" s="76"/>
      <c r="N122" s="78"/>
      <c r="O122" s="78"/>
      <c r="P122" s="78"/>
      <c r="Q122" s="78"/>
      <c r="R122" s="76"/>
      <c r="S122" s="78"/>
      <c r="T122" s="76"/>
      <c r="U122" s="76"/>
      <c r="V122" s="76"/>
      <c r="W122" s="76"/>
      <c r="X122" s="76"/>
    </row>
    <row r="123" spans="1:24" x14ac:dyDescent="0.25">
      <c r="A123" s="108">
        <f t="shared" si="11"/>
        <v>81000</v>
      </c>
      <c r="B123" s="65">
        <f t="shared" si="8"/>
        <v>84700</v>
      </c>
      <c r="C123" s="77"/>
      <c r="D123" s="72"/>
      <c r="E123" s="73">
        <f t="shared" si="7"/>
        <v>3.710172097909981</v>
      </c>
      <c r="F123" s="74">
        <f>IF(A123&lt;=$C$22,IF($C$12*(1-$C$26*(EXP(A123/$C$20)-1))&gt;0,$C$12*(1-$C$26*(EXP(A123/$C$20)-1)),0),IF($C$30*(1-$C$28*(EXP((A123-$C$22)/$C$21)-1))&gt;0,$C$30*(1-$C$28*(EXP((A123-$C$22)/$C$21)-1)),0))</f>
        <v>0</v>
      </c>
      <c r="G123" s="75">
        <f>IF(A123&lt;=$C$22,($C$5-$C$8)*(F123/$C$12)^(1/$C$11)+$C$8, ($C$29-$C$8)*(F123/$C$30)^(1/$C$11)+$C$8)</f>
        <v>0</v>
      </c>
      <c r="H123" s="162">
        <f t="shared" si="9"/>
        <v>84135.62792340749</v>
      </c>
      <c r="I123" s="162">
        <f t="shared" si="10"/>
        <v>85264.37207659251</v>
      </c>
      <c r="J123" s="76"/>
      <c r="K123" s="76"/>
      <c r="L123" s="76"/>
      <c r="M123" s="76"/>
      <c r="N123" s="78"/>
      <c r="O123" s="78"/>
      <c r="P123" s="78"/>
      <c r="Q123" s="78"/>
      <c r="R123" s="76"/>
      <c r="S123" s="78"/>
      <c r="T123" s="76"/>
      <c r="U123" s="76"/>
      <c r="V123" s="76"/>
      <c r="W123" s="76"/>
      <c r="X123" s="76"/>
    </row>
    <row r="124" spans="1:24" x14ac:dyDescent="0.25">
      <c r="A124" s="108">
        <f t="shared" si="11"/>
        <v>82000</v>
      </c>
      <c r="B124" s="65">
        <f t="shared" si="8"/>
        <v>85700</v>
      </c>
      <c r="C124" s="77"/>
      <c r="D124" s="72"/>
      <c r="E124" s="73">
        <f t="shared" si="7"/>
        <v>3.4595834553328575</v>
      </c>
      <c r="F124" s="74">
        <f>IF(A124&lt;=$C$22,IF($C$12*(1-$C$26*(EXP(A124/$C$20)-1))&gt;0,$C$12*(1-$C$26*(EXP(A124/$C$20)-1)),0),IF($C$30*(1-$C$28*(EXP((A124-$C$22)/$C$21)-1))&gt;0,$C$30*(1-$C$28*(EXP((A124-$C$22)/$C$21)-1)),0))</f>
        <v>0</v>
      </c>
      <c r="G124" s="75">
        <f>IF(A124&lt;=$C$22,($C$5-$C$8)*(F124/$C$12)^(1/$C$11)+$C$8, ($C$29-$C$8)*(F124/$C$30)^(1/$C$11)+$C$8)</f>
        <v>0</v>
      </c>
      <c r="H124" s="162">
        <f t="shared" si="9"/>
        <v>85154.130240857266</v>
      </c>
      <c r="I124" s="162">
        <f t="shared" si="10"/>
        <v>86245.869759142734</v>
      </c>
      <c r="S124" s="76"/>
      <c r="T124" s="76"/>
      <c r="U124" s="76"/>
      <c r="V124" s="76"/>
      <c r="W124" s="76"/>
      <c r="X124" s="76"/>
    </row>
    <row r="125" spans="1:24" x14ac:dyDescent="0.25">
      <c r="A125" s="108">
        <f t="shared" si="11"/>
        <v>83000</v>
      </c>
      <c r="B125" s="65">
        <f t="shared" si="8"/>
        <v>86700</v>
      </c>
      <c r="C125" s="77"/>
      <c r="D125" s="72"/>
      <c r="E125" s="73">
        <f t="shared" si="7"/>
        <v>3.2259198141118754</v>
      </c>
      <c r="F125" s="74">
        <f>IF(A125&lt;=$C$22,IF($C$12*(1-$C$26*(EXP(A125/$C$20)-1))&gt;0,$C$12*(1-$C$26*(EXP(A125/$C$20)-1)),0),IF($C$30*(1-$C$28*(EXP((A125-$C$22)/$C$21)-1))&gt;0,$C$30*(1-$C$28*(EXP((A125-$C$22)/$C$21)-1)),0))</f>
        <v>0</v>
      </c>
      <c r="G125" s="75">
        <f>IF(A125&lt;=$C$22,($C$5-$C$8)*(F125/$C$12)^(1/$C$11)+$C$8, ($C$29-$C$8)*(F125/$C$30)^(1/$C$11)+$C$8)</f>
        <v>0</v>
      </c>
      <c r="H125" s="162">
        <f t="shared" si="9"/>
        <v>86172.025980190912</v>
      </c>
      <c r="I125" s="162">
        <f t="shared" si="10"/>
        <v>87227.974019809088</v>
      </c>
      <c r="S125" s="76"/>
      <c r="T125" s="76"/>
      <c r="U125" s="76"/>
      <c r="V125" s="76"/>
      <c r="W125" s="76"/>
      <c r="X125" s="76"/>
    </row>
    <row r="126" spans="1:24" x14ac:dyDescent="0.25">
      <c r="A126" s="108">
        <f t="shared" si="11"/>
        <v>84000</v>
      </c>
      <c r="B126" s="65">
        <f t="shared" si="8"/>
        <v>87700</v>
      </c>
      <c r="C126" s="77"/>
      <c r="D126" s="72"/>
      <c r="E126" s="73">
        <f t="shared" si="7"/>
        <v>3.0080380431459628</v>
      </c>
      <c r="F126" s="74">
        <f>IF(A126&lt;=$C$22,IF($C$12*(1-$C$26*(EXP(A126/$C$20)-1))&gt;0,$C$12*(1-$C$26*(EXP(A126/$C$20)-1)),0),IF($C$30*(1-$C$28*(EXP((A126-$C$22)/$C$21)-1))&gt;0,$C$30*(1-$C$28*(EXP((A126-$C$22)/$C$21)-1)),0))</f>
        <v>0</v>
      </c>
      <c r="G126" s="75">
        <f>IF(A126&lt;=$C$22,($C$5-$C$8)*(F126/$C$12)^(1/$C$11)+$C$8, ($C$29-$C$8)*(F126/$C$30)^(1/$C$11)+$C$8)</f>
        <v>0</v>
      </c>
      <c r="H126" s="162">
        <f t="shared" si="9"/>
        <v>87189.33502740445</v>
      </c>
      <c r="I126" s="162">
        <f t="shared" si="10"/>
        <v>88210.66497259555</v>
      </c>
      <c r="S126" s="76"/>
      <c r="T126" s="76"/>
      <c r="U126" s="76"/>
      <c r="V126" s="76"/>
      <c r="W126" s="76"/>
      <c r="X126" s="76"/>
    </row>
    <row r="127" spans="1:24" x14ac:dyDescent="0.25">
      <c r="A127" s="108">
        <f t="shared" si="11"/>
        <v>85000</v>
      </c>
      <c r="B127" s="65">
        <f t="shared" si="8"/>
        <v>88700</v>
      </c>
      <c r="C127" s="77"/>
      <c r="D127" s="72"/>
      <c r="E127" s="73">
        <f t="shared" si="7"/>
        <v>2.8048722195236802</v>
      </c>
      <c r="F127" s="74">
        <f>IF(A127&lt;=$C$22,IF($C$12*(1-$C$26*(EXP(A127/$C$20)-1))&gt;0,$C$12*(1-$C$26*(EXP(A127/$C$20)-1)),0),IF($C$30*(1-$C$28*(EXP((A127-$C$22)/$C$21)-1))&gt;0,$C$30*(1-$C$28*(EXP((A127-$C$22)/$C$21)-1)),0))</f>
        <v>0</v>
      </c>
      <c r="G127" s="75">
        <f>IF(A127&lt;=$C$22,($C$5-$C$8)*(F127/$C$12)^(1/$C$11)+$C$8, ($C$29-$C$8)*(F127/$C$30)^(1/$C$11)+$C$8)</f>
        <v>0</v>
      </c>
      <c r="H127" s="162">
        <f t="shared" si="9"/>
        <v>88206.076616553371</v>
      </c>
      <c r="I127" s="162">
        <f t="shared" si="10"/>
        <v>89193.923383446629</v>
      </c>
      <c r="S127" s="76"/>
      <c r="T127" s="76"/>
      <c r="U127" s="76"/>
      <c r="V127" s="76"/>
      <c r="W127" s="76"/>
      <c r="X127" s="76"/>
    </row>
    <row r="128" spans="1:24" x14ac:dyDescent="0.25">
      <c r="A128" s="108">
        <f t="shared" si="11"/>
        <v>86000</v>
      </c>
      <c r="B128" s="65">
        <f t="shared" si="8"/>
        <v>89700</v>
      </c>
      <c r="C128" s="77"/>
      <c r="D128" s="72"/>
      <c r="E128" s="73">
        <f t="shared" si="7"/>
        <v>2.6154284138067792</v>
      </c>
      <c r="F128" s="74">
        <f>IF(A128&lt;=$C$22,IF($C$12*(1-$C$26*(EXP(A128/$C$20)-1))&gt;0,$C$12*(1-$C$26*(EXP(A128/$C$20)-1)),0),IF($C$30*(1-$C$28*(EXP((A128-$C$22)/$C$21)-1))&gt;0,$C$30*(1-$C$28*(EXP((A128-$C$22)/$C$21)-1)),0))</f>
        <v>0</v>
      </c>
      <c r="G128" s="75">
        <f>IF(A128&lt;=$C$22,($C$5-$C$8)*(F128/$C$12)^(1/$C$11)+$C$8, ($C$29-$C$8)*(F128/$C$30)^(1/$C$11)+$C$8)</f>
        <v>0</v>
      </c>
      <c r="H128" s="162">
        <f t="shared" si="9"/>
        <v>89222.269351125884</v>
      </c>
      <c r="I128" s="162">
        <f t="shared" si="10"/>
        <v>90177.730648874116</v>
      </c>
      <c r="S128" s="76"/>
      <c r="T128" s="76"/>
      <c r="U128" s="76"/>
      <c r="V128" s="76"/>
      <c r="W128" s="76"/>
      <c r="X128" s="76"/>
    </row>
    <row r="129" spans="1:24" x14ac:dyDescent="0.25">
      <c r="A129" s="108">
        <f t="shared" si="11"/>
        <v>87000</v>
      </c>
      <c r="B129" s="65">
        <f t="shared" si="8"/>
        <v>90700</v>
      </c>
      <c r="C129" s="77"/>
      <c r="D129" s="72"/>
      <c r="E129" s="73">
        <f t="shared" ref="E129:E160" si="12">IF(A129&lt;=$C$22,$C$18*EXP(-A129/$C$20),$C$19*EXP(-(A129-$C$22)/$C$21))</f>
        <v>2.4387798275208015</v>
      </c>
      <c r="F129" s="74">
        <f>IF(A129&lt;=$C$22,IF($C$12*(1-$C$26*(EXP(A129/$C$20)-1))&gt;0,$C$12*(1-$C$26*(EXP(A129/$C$20)-1)),0),IF($C$30*(1-$C$28*(EXP((A129-$C$22)/$C$21)-1))&gt;0,$C$30*(1-$C$28*(EXP((A129-$C$22)/$C$21)-1)),0))</f>
        <v>0</v>
      </c>
      <c r="G129" s="75">
        <f t="shared" ref="G129:G160" si="13">IF(A129&lt;=$C$22,($C$5-$C$8)*(F129/$C$12)^(1/$C$11)+$C$8, ($C$29-$C$8)*(F129/$C$30)^(1/$C$11)+$C$8)</f>
        <v>0</v>
      </c>
      <c r="H129" s="162">
        <f t="shared" si="9"/>
        <v>90237.931224715227</v>
      </c>
      <c r="I129" s="162">
        <f t="shared" si="10"/>
        <v>91162.068775284773</v>
      </c>
      <c r="S129" s="76"/>
      <c r="T129" s="76"/>
      <c r="U129" s="76"/>
      <c r="V129" s="76"/>
      <c r="W129" s="76"/>
      <c r="X129" s="76"/>
    </row>
    <row r="130" spans="1:24" x14ac:dyDescent="0.25">
      <c r="A130" s="108">
        <f t="shared" si="11"/>
        <v>88000</v>
      </c>
      <c r="B130" s="65">
        <f t="shared" si="8"/>
        <v>91700</v>
      </c>
      <c r="C130" s="77"/>
      <c r="D130" s="72"/>
      <c r="E130" s="73">
        <f t="shared" si="12"/>
        <v>2.2740622590642943</v>
      </c>
      <c r="F130" s="74">
        <f>IF(A130&lt;=$C$22,IF($C$12*(1-$C$26*(EXP(A130/$C$20)-1))&gt;0,$C$12*(1-$C$26*(EXP(A130/$C$20)-1)),0),IF($C$30*(1-$C$28*(EXP((A130-$C$22)/$C$21)-1))&gt;0,$C$30*(1-$C$28*(EXP((A130-$C$22)/$C$21)-1)),0))</f>
        <v>0</v>
      </c>
      <c r="G130" s="75">
        <f t="shared" si="13"/>
        <v>0</v>
      </c>
      <c r="H130" s="162">
        <f t="shared" si="9"/>
        <v>91253.07964101457</v>
      </c>
      <c r="I130" s="162">
        <f t="shared" si="10"/>
        <v>92146.92035898543</v>
      </c>
      <c r="S130" s="76"/>
      <c r="T130" s="76"/>
      <c r="U130" s="76"/>
      <c r="V130" s="76"/>
      <c r="W130" s="76"/>
      <c r="X130" s="76"/>
    </row>
    <row r="131" spans="1:24" x14ac:dyDescent="0.25">
      <c r="A131" s="108">
        <f t="shared" si="11"/>
        <v>89000</v>
      </c>
      <c r="B131" s="65">
        <f t="shared" si="8"/>
        <v>92700</v>
      </c>
      <c r="C131" s="77"/>
      <c r="D131" s="72"/>
      <c r="E131" s="73">
        <f t="shared" si="12"/>
        <v>2.1204698758549547</v>
      </c>
      <c r="F131" s="74">
        <f>IF(A131&lt;=$C$22,IF($C$12*(1-$C$26*(EXP(A131/$C$20)-1))&gt;0,$C$12*(1-$C$26*(EXP(A131/$C$20)-1)),0),IF($C$30*(1-$C$28*(EXP((A131-$C$22)/$C$21)-1))&gt;0,$C$30*(1-$C$28*(EXP((A131-$C$22)/$C$21)-1)),0))</f>
        <v>0</v>
      </c>
      <c r="G131" s="75">
        <f t="shared" si="13"/>
        <v>0</v>
      </c>
      <c r="H131" s="162">
        <f t="shared" si="9"/>
        <v>92267.731433156092</v>
      </c>
      <c r="I131" s="162">
        <f t="shared" si="10"/>
        <v>93132.268566843908</v>
      </c>
      <c r="S131" s="76"/>
      <c r="T131" s="76"/>
      <c r="U131" s="76"/>
      <c r="V131" s="76"/>
      <c r="W131" s="76"/>
      <c r="X131" s="76"/>
    </row>
    <row r="132" spans="1:24" x14ac:dyDescent="0.25">
      <c r="A132" s="108">
        <f t="shared" si="11"/>
        <v>90000</v>
      </c>
      <c r="B132" s="65">
        <f t="shared" si="8"/>
        <v>93700</v>
      </c>
      <c r="C132" s="77"/>
      <c r="D132" s="72"/>
      <c r="E132" s="73">
        <f t="shared" si="12"/>
        <v>1.977251272029138</v>
      </c>
      <c r="F132" s="74">
        <f>IF(A132&lt;=$C$22,IF($C$12*(1-$C$26*(EXP(A132/$C$20)-1))&gt;0,$C$12*(1-$C$26*(EXP(A132/$C$20)-1)),0),IF($C$30*(1-$C$28*(EXP((A132-$C$22)/$C$21)-1))&gt;0,$C$30*(1-$C$28*(EXP((A132-$C$22)/$C$21)-1)),0))</f>
        <v>0</v>
      </c>
      <c r="G132" s="75">
        <f t="shared" si="13"/>
        <v>0</v>
      </c>
      <c r="H132" s="162">
        <f t="shared" si="9"/>
        <v>93281.902882416296</v>
      </c>
      <c r="I132" s="162">
        <f t="shared" si="10"/>
        <v>94118.097117583704</v>
      </c>
      <c r="S132" s="76"/>
      <c r="T132" s="76"/>
      <c r="U132" s="76"/>
      <c r="V132" s="76"/>
      <c r="W132" s="76"/>
      <c r="X132" s="76"/>
    </row>
    <row r="133" spans="1:24" x14ac:dyDescent="0.25">
      <c r="A133" s="108">
        <f t="shared" si="11"/>
        <v>91000</v>
      </c>
      <c r="B133" s="65">
        <f t="shared" si="8"/>
        <v>94700</v>
      </c>
      <c r="C133" s="77"/>
      <c r="D133" s="72"/>
      <c r="E133" s="73">
        <f t="shared" si="12"/>
        <v>1.8437057924081832</v>
      </c>
      <c r="F133" s="74">
        <f>IF(A133&lt;=$C$22,IF($C$12*(1-$C$26*(EXP(A133/$C$20)-1))&gt;0,$C$12*(1-$C$26*(EXP(A133/$C$20)-1)),0),IF($C$30*(1-$C$28*(EXP((A133-$C$22)/$C$21)-1))&gt;0,$C$30*(1-$C$28*(EXP((A133-$C$22)/$C$21)-1)),0))</f>
        <v>0</v>
      </c>
      <c r="G133" s="75">
        <f t="shared" si="13"/>
        <v>0</v>
      </c>
      <c r="H133" s="162">
        <f t="shared" si="9"/>
        <v>94295.609736307917</v>
      </c>
      <c r="I133" s="162">
        <f t="shared" si="10"/>
        <v>95104.390263692083</v>
      </c>
      <c r="S133" s="76"/>
      <c r="T133" s="76"/>
      <c r="U133" s="76"/>
      <c r="V133" s="76"/>
      <c r="W133" s="76"/>
      <c r="X133" s="76"/>
    </row>
    <row r="134" spans="1:24" x14ac:dyDescent="0.25">
      <c r="A134" s="108">
        <f t="shared" si="11"/>
        <v>92000</v>
      </c>
      <c r="B134" s="65">
        <f t="shared" si="8"/>
        <v>95700</v>
      </c>
      <c r="C134" s="77"/>
      <c r="D134" s="72"/>
      <c r="E134" s="73">
        <f t="shared" si="12"/>
        <v>1.7191801047476545</v>
      </c>
      <c r="F134" s="74">
        <f>IF(A134&lt;=$C$22,IF($C$12*(1-$C$26*(EXP(A134/$C$20)-1))&gt;0,$C$12*(1-$C$26*(EXP(A134/$C$20)-1)),0),IF($C$30*(1-$C$28*(EXP((A134-$C$22)/$C$21)-1))&gt;0,$C$30*(1-$C$28*(EXP((A134-$C$22)/$C$21)-1)),0))</f>
        <v>0</v>
      </c>
      <c r="G134" s="75">
        <f t="shared" si="13"/>
        <v>0</v>
      </c>
      <c r="H134" s="162">
        <f t="shared" si="9"/>
        <v>95308.867226078859</v>
      </c>
      <c r="I134" s="162">
        <f t="shared" si="10"/>
        <v>96091.132773921141</v>
      </c>
      <c r="S134" s="76"/>
      <c r="T134" s="76"/>
      <c r="U134" s="76"/>
      <c r="V134" s="76"/>
      <c r="W134" s="76"/>
      <c r="X134" s="76"/>
    </row>
    <row r="135" spans="1:24" x14ac:dyDescent="0.25">
      <c r="A135" s="108">
        <f t="shared" si="11"/>
        <v>93000</v>
      </c>
      <c r="B135" s="65">
        <f t="shared" si="8"/>
        <v>96700</v>
      </c>
      <c r="C135" s="77"/>
      <c r="D135" s="72"/>
      <c r="E135" s="73">
        <f t="shared" si="12"/>
        <v>1.6030650035001961</v>
      </c>
      <c r="F135" s="74">
        <f>IF(A135&lt;=$C$22,IF($C$12*(1-$C$26*(EXP(A135/$C$20)-1))&gt;0,$C$12*(1-$C$26*(EXP(A135/$C$20)-1)),0),IF($C$30*(1-$C$28*(EXP((A135-$C$22)/$C$21)-1))&gt;0,$C$30*(1-$C$28*(EXP((A135-$C$22)/$C$21)-1)),0))</f>
        <v>0</v>
      </c>
      <c r="G135" s="75">
        <f t="shared" si="13"/>
        <v>0</v>
      </c>
      <c r="H135" s="162">
        <f t="shared" si="9"/>
        <v>96321.690083637281</v>
      </c>
      <c r="I135" s="162">
        <f t="shared" si="10"/>
        <v>97078.309916362719</v>
      </c>
      <c r="S135" s="76"/>
      <c r="T135" s="76"/>
      <c r="U135" s="76"/>
      <c r="V135" s="76"/>
      <c r="W135" s="76"/>
      <c r="X135" s="76"/>
    </row>
    <row r="136" spans="1:24" x14ac:dyDescent="0.25">
      <c r="A136" s="108">
        <f t="shared" si="11"/>
        <v>94000</v>
      </c>
      <c r="B136" s="65">
        <f t="shared" si="8"/>
        <v>97700</v>
      </c>
      <c r="C136" s="77"/>
      <c r="D136" s="72"/>
      <c r="E136" s="73">
        <f t="shared" si="12"/>
        <v>1.4947924294553701</v>
      </c>
      <c r="F136" s="74">
        <f>IF(A136&lt;=$C$22,IF($C$12*(1-$C$26*(EXP(A136/$C$20)-1))&gt;0,$C$12*(1-$C$26*(EXP(A136/$C$20)-1)),0),IF($C$30*(1-$C$28*(EXP((A136-$C$22)/$C$21)-1))&gt;0,$C$30*(1-$C$28*(EXP((A136-$C$22)/$C$21)-1)),0))</f>
        <v>0</v>
      </c>
      <c r="G136" s="75">
        <f t="shared" si="13"/>
        <v>0</v>
      </c>
      <c r="H136" s="162">
        <f t="shared" si="9"/>
        <v>97334.092557921977</v>
      </c>
      <c r="I136" s="162">
        <f t="shared" si="10"/>
        <v>98065.907442078023</v>
      </c>
      <c r="S136" s="76"/>
      <c r="T136" s="76"/>
      <c r="U136" s="76"/>
      <c r="V136" s="76"/>
      <c r="W136" s="76"/>
      <c r="X136" s="76"/>
    </row>
    <row r="137" spans="1:24" x14ac:dyDescent="0.25">
      <c r="A137" s="108">
        <f t="shared" si="11"/>
        <v>95000</v>
      </c>
      <c r="B137" s="65">
        <f t="shared" si="8"/>
        <v>98700</v>
      </c>
      <c r="C137" s="77"/>
      <c r="D137" s="72"/>
      <c r="E137" s="73">
        <f t="shared" si="12"/>
        <v>1.3938326906759237</v>
      </c>
      <c r="F137" s="74">
        <f>IF(A137&lt;=$C$22,IF($C$12*(1-$C$26*(EXP(A137/$C$20)-1))&gt;0,$C$12*(1-$C$26*(EXP(A137/$C$20)-1)),0),IF($C$30*(1-$C$28*(EXP((A137-$C$22)/$C$21)-1))&gt;0,$C$30*(1-$C$28*(EXP((A137-$C$22)/$C$21)-1)),0))</f>
        <v>0</v>
      </c>
      <c r="G137" s="75">
        <f t="shared" si="13"/>
        <v>0</v>
      </c>
      <c r="H137" s="162">
        <f t="shared" si="9"/>
        <v>98346.088430735952</v>
      </c>
      <c r="I137" s="162">
        <f t="shared" si="10"/>
        <v>99053.911569264048</v>
      </c>
      <c r="S137" s="76"/>
      <c r="T137" s="76"/>
      <c r="U137" s="76"/>
      <c r="V137" s="76"/>
      <c r="W137" s="76"/>
      <c r="X137" s="76"/>
    </row>
    <row r="138" spans="1:24" x14ac:dyDescent="0.25">
      <c r="A138" s="108">
        <f t="shared" si="11"/>
        <v>96000</v>
      </c>
      <c r="B138" s="65">
        <f t="shared" si="8"/>
        <v>99700</v>
      </c>
      <c r="C138" s="77"/>
      <c r="D138" s="72"/>
      <c r="E138" s="73">
        <f t="shared" si="12"/>
        <v>1.2996918711347343</v>
      </c>
      <c r="F138" s="74">
        <f>IF(A138&lt;=$C$22,IF($C$12*(1-$C$26*(EXP(A138/$C$20)-1))&gt;0,$C$12*(1-$C$26*(EXP(A138/$C$20)-1)),0),IF($C$30*(1-$C$28*(EXP((A138-$C$22)/$C$21)-1))&gt;0,$C$30*(1-$C$28*(EXP((A138-$C$22)/$C$21)-1)),0))</f>
        <v>0</v>
      </c>
      <c r="G138" s="75">
        <f t="shared" si="13"/>
        <v>0</v>
      </c>
      <c r="H138" s="162">
        <f t="shared" si="9"/>
        <v>99357.69103206096</v>
      </c>
      <c r="I138" s="162">
        <f t="shared" si="10"/>
        <v>100042.30896793904</v>
      </c>
      <c r="S138" s="76"/>
      <c r="T138" s="76"/>
      <c r="U138" s="76"/>
      <c r="V138" s="76"/>
      <c r="W138" s="76"/>
      <c r="X138" s="76"/>
    </row>
    <row r="139" spans="1:24" x14ac:dyDescent="0.25">
      <c r="A139" s="108">
        <f t="shared" si="11"/>
        <v>97000</v>
      </c>
      <c r="B139" s="65">
        <f t="shared" si="8"/>
        <v>100700</v>
      </c>
      <c r="C139" s="77"/>
      <c r="D139" s="72"/>
      <c r="E139" s="73">
        <f t="shared" si="12"/>
        <v>1.2119094143749409</v>
      </c>
      <c r="F139" s="74">
        <f>IF(A139&lt;=$C$22,IF($C$12*(1-$C$26*(EXP(A139/$C$20)-1))&gt;0,$C$12*(1-$C$26*(EXP(A139/$C$20)-1)),0),IF($C$30*(1-$C$28*(EXP((A139-$C$22)/$C$21)-1))&gt;0,$C$30*(1-$C$28*(EXP((A139-$C$22)/$C$21)-1)),0))</f>
        <v>0</v>
      </c>
      <c r="G139" s="75">
        <f t="shared" si="13"/>
        <v>0</v>
      </c>
      <c r="H139" s="162">
        <f t="shared" si="9"/>
        <v>100368.91325486999</v>
      </c>
      <c r="I139" s="162">
        <f t="shared" si="10"/>
        <v>101031.08674513001</v>
      </c>
      <c r="S139" s="76"/>
      <c r="T139" s="76"/>
      <c r="U139" s="76"/>
      <c r="V139" s="76"/>
      <c r="W139" s="76"/>
      <c r="X139" s="76"/>
    </row>
    <row r="140" spans="1:24" x14ac:dyDescent="0.25">
      <c r="A140" s="108">
        <f t="shared" si="11"/>
        <v>98000</v>
      </c>
      <c r="B140" s="65">
        <f t="shared" si="8"/>
        <v>101700</v>
      </c>
      <c r="C140" s="77"/>
      <c r="D140" s="72"/>
      <c r="E140" s="73">
        <f t="shared" si="12"/>
        <v>1.1300558703720283</v>
      </c>
      <c r="F140" s="74">
        <f>IF(A140&lt;=$C$22,IF($C$12*(1-$C$26*(EXP(A140/$C$20)-1))&gt;0,$C$12*(1-$C$26*(EXP(A140/$C$20)-1)),0),IF($C$30*(1-$C$28*(EXP((A140-$C$22)/$C$21)-1))&gt;0,$C$30*(1-$C$28*(EXP((A140-$C$22)/$C$21)-1)),0))</f>
        <v>0</v>
      </c>
      <c r="G140" s="75">
        <f t="shared" si="13"/>
        <v>0</v>
      </c>
      <c r="H140" s="162">
        <f t="shared" si="9"/>
        <v>101379.76756945407</v>
      </c>
      <c r="I140" s="162">
        <f t="shared" si="10"/>
        <v>102020.23243054593</v>
      </c>
      <c r="S140" s="76"/>
      <c r="T140" s="76"/>
      <c r="U140" s="76"/>
      <c r="V140" s="76"/>
      <c r="W140" s="76"/>
      <c r="X140" s="76"/>
    </row>
    <row r="141" spans="1:24" x14ac:dyDescent="0.25">
      <c r="A141" s="108">
        <f t="shared" si="11"/>
        <v>99000</v>
      </c>
      <c r="B141" s="65">
        <f t="shared" si="8"/>
        <v>102700</v>
      </c>
      <c r="C141" s="77"/>
      <c r="D141" s="72"/>
      <c r="E141" s="73">
        <f t="shared" si="12"/>
        <v>1.0537307945750436</v>
      </c>
      <c r="F141" s="74">
        <f>IF(A141&lt;=$C$22,IF($C$12*(1-$C$26*(EXP(A141/$C$20)-1))&gt;0,$C$12*(1-$C$26*(EXP(A141/$C$20)-1)),0),IF($C$30*(1-$C$28*(EXP((A141-$C$22)/$C$21)-1))&gt;0,$C$30*(1-$C$28*(EXP((A141-$C$22)/$C$21)-1)),0))</f>
        <v>0</v>
      </c>
      <c r="G141" s="75">
        <f t="shared" si="13"/>
        <v>0</v>
      </c>
      <c r="H141" s="162">
        <f t="shared" si="9"/>
        <v>102390.26603727948</v>
      </c>
      <c r="I141" s="162">
        <f t="shared" si="10"/>
        <v>103009.73396272052</v>
      </c>
      <c r="S141" s="76"/>
      <c r="T141" s="76"/>
      <c r="U141" s="76"/>
      <c r="V141" s="76"/>
      <c r="W141" s="76"/>
      <c r="X141" s="76"/>
    </row>
    <row r="142" spans="1:24" x14ac:dyDescent="0.25">
      <c r="A142" s="108">
        <f t="shared" si="11"/>
        <v>100000</v>
      </c>
      <c r="B142" s="65">
        <f t="shared" si="8"/>
        <v>103700</v>
      </c>
      <c r="C142" s="77"/>
      <c r="D142" s="72"/>
      <c r="E142" s="73">
        <f t="shared" si="12"/>
        <v>0.98256078884861897</v>
      </c>
      <c r="F142" s="74">
        <f>IF(A142&lt;=$C$22,IF($C$12*(1-$C$26*(EXP(A142/$C$20)-1))&gt;0,$C$12*(1-$C$26*(EXP(A142/$C$20)-1)),0),IF($C$30*(1-$C$28*(EXP((A142-$C$22)/$C$21)-1))&gt;0,$C$30*(1-$C$28*(EXP((A142-$C$22)/$C$21)-1)),0))</f>
        <v>0</v>
      </c>
      <c r="G142" s="75">
        <f t="shared" si="13"/>
        <v>0</v>
      </c>
      <c r="H142" s="162">
        <f t="shared" si="9"/>
        <v>103400.42032439062</v>
      </c>
      <c r="I142" s="162">
        <f t="shared" si="10"/>
        <v>103999.57967560938</v>
      </c>
      <c r="S142" s="76"/>
      <c r="T142" s="76"/>
      <c r="U142" s="76"/>
      <c r="V142" s="76"/>
      <c r="W142" s="76"/>
      <c r="X142" s="76"/>
    </row>
    <row r="143" spans="1:24" x14ac:dyDescent="0.25">
      <c r="A143" s="108">
        <f t="shared" si="11"/>
        <v>101000</v>
      </c>
      <c r="B143" s="65">
        <f t="shared" si="8"/>
        <v>104700</v>
      </c>
      <c r="C143" s="77"/>
      <c r="D143" s="72"/>
      <c r="E143" s="73">
        <f t="shared" si="12"/>
        <v>0.91619767473168001</v>
      </c>
      <c r="F143" s="74">
        <f>IF(A143&lt;=$C$22,IF($C$12*(1-$C$26*(EXP(A143/$C$20)-1))&gt;0,$C$12*(1-$C$26*(EXP(A143/$C$20)-1)),0),IF($C$30*(1-$C$28*(EXP((A143-$C$22)/$C$21)-1))&gt;0,$C$30*(1-$C$28*(EXP((A143-$C$22)/$C$21)-1)),0))</f>
        <v>0</v>
      </c>
      <c r="G143" s="75">
        <f t="shared" si="13"/>
        <v>0</v>
      </c>
      <c r="H143" s="162">
        <f t="shared" si="9"/>
        <v>104410.24171437343</v>
      </c>
      <c r="I143" s="162">
        <f t="shared" si="10"/>
        <v>104989.75828562657</v>
      </c>
      <c r="S143" s="76"/>
      <c r="T143" s="76"/>
      <c r="U143" s="76"/>
      <c r="V143" s="76"/>
      <c r="W143" s="76"/>
      <c r="X143" s="76"/>
    </row>
    <row r="144" spans="1:24" x14ac:dyDescent="0.25">
      <c r="A144" s="108">
        <f t="shared" si="11"/>
        <v>102000</v>
      </c>
      <c r="B144" s="65">
        <f t="shared" si="8"/>
        <v>105700</v>
      </c>
      <c r="D144" s="72"/>
      <c r="E144" s="73">
        <f t="shared" si="12"/>
        <v>0.85431679007604411</v>
      </c>
      <c r="F144" s="74">
        <f>IF(A144&lt;=$C$22,IF($C$12*(1-$C$26*(EXP(A144/$C$20)-1))&gt;0,$C$12*(1-$C$26*(EXP(A144/$C$20)-1)),0),IF($C$30*(1-$C$28*(EXP((A144-$C$22)/$C$21)-1))&gt;0,$C$30*(1-$C$28*(EXP((A144-$C$22)/$C$21)-1)),0))</f>
        <v>0</v>
      </c>
      <c r="G144" s="75">
        <f t="shared" si="13"/>
        <v>0</v>
      </c>
      <c r="H144" s="162">
        <f t="shared" si="9"/>
        <v>105419.74112089392</v>
      </c>
      <c r="I144" s="162">
        <f t="shared" si="10"/>
        <v>105980.25887910608</v>
      </c>
    </row>
    <row r="145" spans="1:9" x14ac:dyDescent="0.25">
      <c r="A145" s="108">
        <f t="shared" si="11"/>
        <v>103000</v>
      </c>
      <c r="B145" s="65">
        <f t="shared" si="8"/>
        <v>106700</v>
      </c>
      <c r="D145" s="72"/>
      <c r="E145" s="73">
        <f t="shared" si="12"/>
        <v>0.79661540073170667</v>
      </c>
      <c r="F145" s="74">
        <f>IF(A145&lt;=$C$22,IF($C$12*(1-$C$26*(EXP(A145/$C$20)-1))&gt;0,$C$12*(1-$C$26*(EXP(A145/$C$20)-1)),0),IF($C$30*(1-$C$28*(EXP((A145-$C$22)/$C$21)-1))&gt;0,$C$30*(1-$C$28*(EXP((A145-$C$22)/$C$21)-1)),0))</f>
        <v>0</v>
      </c>
      <c r="G145" s="75">
        <f t="shared" si="13"/>
        <v>0</v>
      </c>
      <c r="H145" s="162">
        <f t="shared" si="9"/>
        <v>106428.92909982556</v>
      </c>
      <c r="I145" s="162">
        <f t="shared" si="10"/>
        <v>106971.07090017444</v>
      </c>
    </row>
    <row r="146" spans="1:9" x14ac:dyDescent="0.25">
      <c r="A146" s="108">
        <f t="shared" si="11"/>
        <v>104000</v>
      </c>
      <c r="B146" s="65">
        <f t="shared" si="8"/>
        <v>107700</v>
      </c>
      <c r="D146" s="72"/>
      <c r="E146" s="73">
        <f t="shared" si="12"/>
        <v>0.74281121950845785</v>
      </c>
      <c r="F146" s="74">
        <f>IF(A146&lt;=$C$22,IF($C$12*(1-$C$26*(EXP(A146/$C$20)-1))&gt;0,$C$12*(1-$C$26*(EXP(A146/$C$20)-1)),0),IF($C$30*(1-$C$28*(EXP((A146-$C$22)/$C$21)-1))&gt;0,$C$30*(1-$C$28*(EXP((A146-$C$22)/$C$21)-1)),0))</f>
        <v>0</v>
      </c>
      <c r="G146" s="75">
        <f t="shared" si="13"/>
        <v>0</v>
      </c>
      <c r="H146" s="162">
        <f t="shared" si="9"/>
        <v>107437.81586097913</v>
      </c>
      <c r="I146" s="162">
        <f t="shared" si="10"/>
        <v>107962.18413902087</v>
      </c>
    </row>
    <row r="147" spans="1:9" x14ac:dyDescent="0.25">
      <c r="A147" s="108">
        <f t="shared" si="11"/>
        <v>105000</v>
      </c>
      <c r="B147" s="65">
        <f t="shared" si="8"/>
        <v>108700</v>
      </c>
      <c r="D147" s="72"/>
      <c r="E147" s="73">
        <f t="shared" si="12"/>
        <v>0.69264102516827097</v>
      </c>
      <c r="F147" s="74">
        <f>IF(A147&lt;=$C$22,IF($C$12*(1-$C$26*(EXP(A147/$C$20)-1))&gt;0,$C$12*(1-$C$26*(EXP(A147/$C$20)-1)),0),IF($C$30*(1-$C$28*(EXP((A147-$C$22)/$C$21)-1))&gt;0,$C$30*(1-$C$28*(EXP((A147-$C$22)/$C$21)-1)),0))</f>
        <v>0</v>
      </c>
      <c r="G147" s="75">
        <f t="shared" si="13"/>
        <v>0</v>
      </c>
      <c r="H147" s="162">
        <f t="shared" si="9"/>
        <v>108446.411279448</v>
      </c>
      <c r="I147" s="162">
        <f t="shared" si="10"/>
        <v>108953.588720552</v>
      </c>
    </row>
    <row r="148" spans="1:9" x14ac:dyDescent="0.25">
      <c r="A148" s="108">
        <f t="shared" si="11"/>
        <v>106000</v>
      </c>
      <c r="B148" s="65">
        <f t="shared" si="8"/>
        <v>109700</v>
      </c>
      <c r="D148" s="72"/>
      <c r="E148" s="73">
        <f t="shared" si="12"/>
        <v>0.64585937469229471</v>
      </c>
      <c r="F148" s="74">
        <f>IF(A148&lt;=$C$22,IF($C$12*(1-$C$26*(EXP(A148/$C$20)-1))&gt;0,$C$12*(1-$C$26*(EXP(A148/$C$20)-1)),0),IF($C$30*(1-$C$28*(EXP((A148-$C$22)/$C$21)-1))&gt;0,$C$30*(1-$C$28*(EXP((A148-$C$22)/$C$21)-1)),0))</f>
        <v>0</v>
      </c>
      <c r="G148" s="75">
        <f t="shared" si="13"/>
        <v>0</v>
      </c>
      <c r="H148" s="162">
        <f t="shared" si="9"/>
        <v>109454.72490658148</v>
      </c>
      <c r="I148" s="162">
        <f t="shared" si="10"/>
        <v>109945.27509341852</v>
      </c>
    </row>
    <row r="149" spans="1:9" x14ac:dyDescent="0.25">
      <c r="A149" s="108">
        <f t="shared" si="11"/>
        <v>107000</v>
      </c>
      <c r="B149" s="65">
        <f t="shared" si="8"/>
        <v>110700</v>
      </c>
      <c r="D149" s="72"/>
      <c r="E149" s="73">
        <f t="shared" si="12"/>
        <v>0.60223740252258784</v>
      </c>
      <c r="F149" s="74">
        <f>IF(A149&lt;=$C$22,IF($C$12*(1-$C$26*(EXP(A149/$C$20)-1))&gt;0,$C$12*(1-$C$26*(EXP(A149/$C$20)-1)),0),IF($C$30*(1-$C$28*(EXP((A149-$C$22)/$C$21)-1))&gt;0,$C$30*(1-$C$28*(EXP((A149-$C$22)/$C$21)-1)),0))</f>
        <v>0</v>
      </c>
      <c r="G149" s="75">
        <f t="shared" si="13"/>
        <v>0</v>
      </c>
      <c r="H149" s="162">
        <f t="shared" si="9"/>
        <v>110462.76598059837</v>
      </c>
      <c r="I149" s="162">
        <f t="shared" si="10"/>
        <v>110937.23401940163</v>
      </c>
    </row>
    <row r="150" spans="1:9" x14ac:dyDescent="0.25">
      <c r="A150" s="108">
        <f t="shared" si="11"/>
        <v>108000</v>
      </c>
      <c r="B150" s="65">
        <f t="shared" si="8"/>
        <v>111700</v>
      </c>
      <c r="D150" s="72"/>
      <c r="E150" s="73">
        <f t="shared" si="12"/>
        <v>0.56156170090423951</v>
      </c>
      <c r="F150" s="74">
        <f>IF(A150&lt;=$C$22,IF($C$12*(1-$C$26*(EXP(A150/$C$20)-1))&gt;0,$C$12*(1-$C$26*(EXP(A150/$C$20)-1)),0),IF($C$30*(1-$C$28*(EXP((A150-$C$22)/$C$21)-1))&gt;0,$C$30*(1-$C$28*(EXP((A150-$C$22)/$C$21)-1)),0))</f>
        <v>0</v>
      </c>
      <c r="G150" s="75">
        <f t="shared" si="13"/>
        <v>0</v>
      </c>
      <c r="H150" s="162">
        <f t="shared" si="9"/>
        <v>111470.54343685269</v>
      </c>
      <c r="I150" s="162">
        <f t="shared" si="10"/>
        <v>111929.45656314731</v>
      </c>
    </row>
    <row r="151" spans="1:9" x14ac:dyDescent="0.25">
      <c r="A151" s="108">
        <f t="shared" si="11"/>
        <v>109000</v>
      </c>
      <c r="B151" s="65">
        <f t="shared" si="8"/>
        <v>112700</v>
      </c>
      <c r="D151" s="72"/>
      <c r="E151" s="73">
        <f t="shared" si="12"/>
        <v>0.52363327585027353</v>
      </c>
      <c r="F151" s="74">
        <f>IF(A151&lt;=$C$22,IF($C$12*(1-$C$26*(EXP(A151/$C$20)-1))&gt;0,$C$12*(1-$C$26*(EXP(A151/$C$20)-1)),0),IF($C$30*(1-$C$28*(EXP((A151-$C$22)/$C$21)-1))&gt;0,$C$30*(1-$C$28*(EXP((A151-$C$22)/$C$21)-1)),0))</f>
        <v>0</v>
      </c>
      <c r="G151" s="75">
        <f t="shared" si="13"/>
        <v>0</v>
      </c>
      <c r="H151" s="162">
        <f t="shared" si="9"/>
        <v>112478.06591776265</v>
      </c>
      <c r="I151" s="162">
        <f t="shared" si="10"/>
        <v>112921.93408223735</v>
      </c>
    </row>
    <row r="152" spans="1:9" x14ac:dyDescent="0.25">
      <c r="A152" s="108">
        <f t="shared" si="11"/>
        <v>110000</v>
      </c>
      <c r="B152" s="65">
        <f t="shared" si="8"/>
        <v>113700</v>
      </c>
      <c r="D152" s="72"/>
      <c r="E152" s="73">
        <f t="shared" si="12"/>
        <v>0.48826657362170317</v>
      </c>
      <c r="F152" s="74">
        <f>IF(A152&lt;=$C$22,IF($C$12*(1-$C$26*(EXP(A152/$C$20)-1))&gt;0,$C$12*(1-$C$26*(EXP(A152/$C$20)-1)),0),IF($C$30*(1-$C$28*(EXP((A152-$C$22)/$C$21)-1))&gt;0,$C$30*(1-$C$28*(EXP((A152-$C$22)/$C$21)-1)),0))</f>
        <v>0</v>
      </c>
      <c r="G152" s="75">
        <f t="shared" si="13"/>
        <v>0</v>
      </c>
      <c r="H152" s="162">
        <f t="shared" si="9"/>
        <v>113485.34178241434</v>
      </c>
      <c r="I152" s="162">
        <f t="shared" si="10"/>
        <v>113914.65821758566</v>
      </c>
    </row>
    <row r="153" spans="1:9" x14ac:dyDescent="0.25">
      <c r="A153" s="108">
        <f t="shared" si="11"/>
        <v>111000</v>
      </c>
      <c r="B153" s="65">
        <f t="shared" si="8"/>
        <v>114700</v>
      </c>
      <c r="D153" s="72"/>
      <c r="E153" s="73">
        <f t="shared" si="12"/>
        <v>0.45528857296007064</v>
      </c>
      <c r="F153" s="74">
        <f>IF(A153&lt;=$C$22,IF($C$12*(1-$C$26*(EXP(A153/$C$20)-1))&gt;0,$C$12*(1-$C$26*(EXP(A153/$C$20)-1)),0),IF($C$30*(1-$C$28*(EXP((A153-$C$22)/$C$21)-1))&gt;0,$C$30*(1-$C$28*(EXP((A153-$C$22)/$C$21)-1)),0))</f>
        <v>0</v>
      </c>
      <c r="G153" s="75">
        <f t="shared" si="13"/>
        <v>0</v>
      </c>
      <c r="H153" s="162">
        <f t="shared" si="9"/>
        <v>114492.37911585039</v>
      </c>
      <c r="I153" s="162">
        <f t="shared" si="10"/>
        <v>114907.62088414961</v>
      </c>
    </row>
    <row r="154" spans="1:9" x14ac:dyDescent="0.25">
      <c r="A154" s="108">
        <f t="shared" si="11"/>
        <v>112000</v>
      </c>
      <c r="B154" s="65">
        <f t="shared" si="8"/>
        <v>115700</v>
      </c>
      <c r="D154" s="72"/>
      <c r="E154" s="73">
        <f t="shared" si="12"/>
        <v>0.42453793863148809</v>
      </c>
      <c r="F154" s="74">
        <f>IF(A154&lt;=$C$22,IF($C$12*(1-$C$26*(EXP(A154/$C$20)-1))&gt;0,$C$12*(1-$C$26*(EXP(A154/$C$20)-1)),0),IF($C$30*(1-$C$28*(EXP((A154-$C$22)/$C$21)-1))&gt;0,$C$30*(1-$C$28*(EXP((A154-$C$22)/$C$21)-1)),0))</f>
        <v>0</v>
      </c>
      <c r="G154" s="75">
        <f t="shared" si="13"/>
        <v>0</v>
      </c>
      <c r="H154" s="162">
        <f t="shared" si="9"/>
        <v>115499.18573805418</v>
      </c>
      <c r="I154" s="162">
        <f t="shared" si="10"/>
        <v>115900.81426194582</v>
      </c>
    </row>
    <row r="155" spans="1:9" x14ac:dyDescent="0.25">
      <c r="A155" s="108">
        <f t="shared" si="11"/>
        <v>113000</v>
      </c>
      <c r="B155" s="65">
        <f t="shared" si="8"/>
        <v>116700</v>
      </c>
      <c r="D155" s="72"/>
      <c r="E155" s="73">
        <f t="shared" si="12"/>
        <v>0.39586423214113864</v>
      </c>
      <c r="F155" s="74">
        <f>IF(A155&lt;=$C$22,IF($C$12*(1-$C$26*(EXP(A155/$C$20)-1))&gt;0,$C$12*(1-$C$26*(EXP(A155/$C$20)-1)),0),IF($C$30*(1-$C$28*(EXP((A155-$C$22)/$C$21)-1))&gt;0,$C$30*(1-$C$28*(EXP((A155-$C$22)/$C$21)-1)),0))</f>
        <v>0</v>
      </c>
      <c r="G155" s="75">
        <f t="shared" si="13"/>
        <v>0</v>
      </c>
      <c r="H155" s="162">
        <f t="shared" si="9"/>
        <v>116505.7692126396</v>
      </c>
      <c r="I155" s="162">
        <f t="shared" si="10"/>
        <v>116894.2307873604</v>
      </c>
    </row>
    <row r="156" spans="1:9" x14ac:dyDescent="0.25">
      <c r="A156" s="108">
        <f t="shared" si="11"/>
        <v>114000</v>
      </c>
      <c r="B156" s="65">
        <f t="shared" si="8"/>
        <v>117700</v>
      </c>
      <c r="D156" s="72"/>
      <c r="E156" s="73">
        <f t="shared" si="12"/>
        <v>0.36912717575689086</v>
      </c>
      <c r="F156" s="74">
        <f>IF(A156&lt;=$C$22,IF($C$12*(1-$C$26*(EXP(A156/$C$20)-1))&gt;0,$C$12*(1-$C$26*(EXP(A156/$C$20)-1)),0),IF($C$30*(1-$C$28*(EXP((A156-$C$22)/$C$21)-1))&gt;0,$C$30*(1-$C$28*(EXP((A156-$C$22)/$C$21)-1)),0))</f>
        <v>0</v>
      </c>
      <c r="G156" s="75">
        <f t="shared" si="13"/>
        <v>0</v>
      </c>
      <c r="H156" s="162">
        <f t="shared" si="9"/>
        <v>117512.13685525571</v>
      </c>
      <c r="I156" s="162">
        <f t="shared" si="10"/>
        <v>117887.86314474429</v>
      </c>
    </row>
    <row r="157" spans="1:9" x14ac:dyDescent="0.25">
      <c r="A157" s="108">
        <f t="shared" si="11"/>
        <v>115000</v>
      </c>
      <c r="B157" s="65">
        <f t="shared" si="8"/>
        <v>118700</v>
      </c>
      <c r="D157" s="72"/>
      <c r="E157" s="73">
        <f t="shared" si="12"/>
        <v>0.34419596624147419</v>
      </c>
      <c r="F157" s="74">
        <f>IF(A157&lt;=$C$22,IF($C$12*(1-$C$26*(EXP(A157/$C$20)-1))&gt;0,$C$12*(1-$C$26*(EXP(A157/$C$20)-1)),0),IF($C$30*(1-$C$28*(EXP((A157-$C$22)/$C$21)-1))&gt;0,$C$30*(1-$C$28*(EXP((A157-$C$22)/$C$21)-1)),0))</f>
        <v>0</v>
      </c>
      <c r="G157" s="75">
        <f t="shared" si="13"/>
        <v>0</v>
      </c>
      <c r="H157" s="162">
        <f t="shared" si="9"/>
        <v>118518.29574171615</v>
      </c>
      <c r="I157" s="162">
        <f t="shared" si="10"/>
        <v>118881.70425828385</v>
      </c>
    </row>
    <row r="158" spans="1:9" x14ac:dyDescent="0.25">
      <c r="A158" s="108">
        <f t="shared" si="11"/>
        <v>116000</v>
      </c>
      <c r="B158" s="65">
        <f t="shared" si="8"/>
        <v>119700</v>
      </c>
      <c r="D158" s="72"/>
      <c r="E158" s="73">
        <f t="shared" si="12"/>
        <v>0.32094863493585635</v>
      </c>
      <c r="F158" s="74">
        <f>IF(A158&lt;=$C$22,IF($C$12*(1-$C$26*(EXP(A158/$C$20)-1))&gt;0,$C$12*(1-$C$26*(EXP(A158/$C$20)-1)),0),IF($C$30*(1-$C$28*(EXP((A158-$C$22)/$C$21)-1))&gt;0,$C$30*(1-$C$28*(EXP((A158-$C$22)/$C$21)-1)),0))</f>
        <v>0</v>
      </c>
      <c r="G158" s="75">
        <f t="shared" si="13"/>
        <v>0</v>
      </c>
      <c r="H158" s="162">
        <f t="shared" si="9"/>
        <v>119524.25271586172</v>
      </c>
      <c r="I158" s="162">
        <f t="shared" si="10"/>
        <v>119875.74728413828</v>
      </c>
    </row>
    <row r="159" spans="1:9" x14ac:dyDescent="0.25">
      <c r="A159" s="108">
        <f t="shared" si="11"/>
        <v>117000</v>
      </c>
      <c r="B159" s="65">
        <f t="shared" si="8"/>
        <v>120700</v>
      </c>
      <c r="D159" s="72"/>
      <c r="E159" s="73">
        <f t="shared" si="12"/>
        <v>0.2992714510632099</v>
      </c>
      <c r="F159" s="74">
        <f>IF(A159&lt;=$C$22,IF($C$12*(1-$C$26*(EXP(A159/$C$20)-1))&gt;0,$C$12*(1-$C$26*(EXP(A159/$C$20)-1)),0),IF($C$30*(1-$C$28*(EXP((A159-$C$22)/$C$21)-1))&gt;0,$C$30*(1-$C$28*(EXP((A159-$C$22)/$C$21)-1)),0))</f>
        <v>0</v>
      </c>
      <c r="G159" s="75">
        <f t="shared" si="13"/>
        <v>0</v>
      </c>
      <c r="H159" s="162">
        <f t="shared" si="9"/>
        <v>120530.01439716546</v>
      </c>
      <c r="I159" s="162">
        <f t="shared" si="10"/>
        <v>120869.98560283454</v>
      </c>
    </row>
    <row r="160" spans="1:9" x14ac:dyDescent="0.25">
      <c r="A160" s="108">
        <f t="shared" si="11"/>
        <v>118000</v>
      </c>
      <c r="B160" s="65">
        <f t="shared" si="8"/>
        <v>121700</v>
      </c>
      <c r="D160" s="72"/>
      <c r="E160" s="73">
        <f t="shared" si="12"/>
        <v>0.27905836533431294</v>
      </c>
      <c r="F160" s="74">
        <f>IF(A160&lt;=$C$22,IF($C$12*(1-$C$26*(EXP(A160/$C$20)-1))&gt;0,$C$12*(1-$C$26*(EXP(A160/$C$20)-1)),0),IF($C$30*(1-$C$28*(EXP((A160-$C$22)/$C$21)-1))&gt;0,$C$30*(1-$C$28*(EXP((A160-$C$22)/$C$21)-1)),0))</f>
        <v>0</v>
      </c>
      <c r="G160" s="75">
        <f t="shared" si="13"/>
        <v>0</v>
      </c>
      <c r="H160" s="162">
        <f t="shared" si="9"/>
        <v>121535.58718808831</v>
      </c>
      <c r="I160" s="162">
        <f t="shared" si="10"/>
        <v>121864.41281191169</v>
      </c>
    </row>
    <row r="161" spans="1:9" x14ac:dyDescent="0.25">
      <c r="A161" s="108">
        <f t="shared" si="11"/>
        <v>119000</v>
      </c>
      <c r="B161" s="65">
        <f t="shared" si="8"/>
        <v>122700</v>
      </c>
      <c r="D161" s="72"/>
      <c r="E161" s="73">
        <f t="shared" ref="E161:E168" si="14">IF(A161&lt;=$C$22,$C$18*EXP(-A161/$C$20),$C$19*EXP(-(A161-$C$22)/$C$21))</f>
        <v>0.26021049113238337</v>
      </c>
      <c r="F161" s="74">
        <f>IF(A161&lt;=$C$22,IF($C$12*(1-$C$26*(EXP(A161/$C$20)-1))&gt;0,$C$12*(1-$C$26*(EXP(A161/$C$20)-1)),0),IF($C$30*(1-$C$28*(EXP((A161-$C$22)/$C$21)-1))&gt;0,$C$30*(1-$C$28*(EXP((A161-$C$22)/$C$21)-1)),0))</f>
        <v>0</v>
      </c>
      <c r="G161" s="75">
        <f t="shared" ref="G161:G168" si="15">IF(A161&lt;=$C$22,($C$5-$C$8)*(F161/$C$12)^(1/$C$11)+$C$8, ($C$29-$C$8)*(F161/$C$30)^(1/$C$11)+$C$8)</f>
        <v>0</v>
      </c>
      <c r="H161" s="162">
        <f t="shared" si="9"/>
        <v>122540.97728119348</v>
      </c>
      <c r="I161" s="162">
        <f t="shared" si="10"/>
        <v>122859.02271880652</v>
      </c>
    </row>
    <row r="162" spans="1:9" x14ac:dyDescent="0.25">
      <c r="A162" s="108">
        <f t="shared" si="11"/>
        <v>120000</v>
      </c>
      <c r="B162" s="65">
        <f t="shared" ref="B162:B168" si="16">A162+3700</f>
        <v>123700</v>
      </c>
      <c r="D162" s="72"/>
      <c r="E162" s="73">
        <f t="shared" si="14"/>
        <v>0.24263562073919528</v>
      </c>
      <c r="F162" s="74">
        <f t="shared" ref="F162:F168" si="17">IF(A162&lt;=$C$22,IF($C$12*(1-$C$26*(EXP(A162/$C$20)-1))&gt;0,$C$12*(1-$C$26*(EXP(A162/$C$20)-1)),0),IF($C$30*(1-$C$28*(EXP((A162-$C$22)/$C$21)-1))&gt;0,$C$30*(1-$C$28*(EXP((A162-$C$22)/$C$21)-1)),0))</f>
        <v>0</v>
      </c>
      <c r="G162" s="75">
        <f t="shared" si="15"/>
        <v>0</v>
      </c>
      <c r="H162" s="162">
        <f t="shared" ref="H162:H168" si="18">IF($C$15=0,B162-$C$6/2, B162-$C$6*EXP(-B162/$C$15)/2)</f>
        <v>123546.19066602792</v>
      </c>
      <c r="I162" s="162">
        <f t="shared" ref="I162:I168" si="19">IF($C$15=0,B162+$C$6/2, B162+$C$6*EXP(-B162/$C$15)/2)</f>
        <v>123853.80933397208</v>
      </c>
    </row>
    <row r="163" spans="1:9" x14ac:dyDescent="0.25">
      <c r="A163" s="108">
        <f t="shared" si="11"/>
        <v>121000</v>
      </c>
      <c r="B163" s="65">
        <f t="shared" si="16"/>
        <v>124700</v>
      </c>
      <c r="D163" s="72"/>
      <c r="E163" s="73">
        <f t="shared" si="14"/>
        <v>0.22624777423575582</v>
      </c>
      <c r="F163" s="74">
        <f t="shared" si="17"/>
        <v>0</v>
      </c>
      <c r="G163" s="75">
        <f t="shared" si="15"/>
        <v>0</v>
      </c>
      <c r="H163" s="162">
        <f t="shared" si="18"/>
        <v>124551.23313577779</v>
      </c>
      <c r="I163" s="162">
        <f t="shared" si="19"/>
        <v>124848.76686422221</v>
      </c>
    </row>
    <row r="164" spans="1:9" x14ac:dyDescent="0.25">
      <c r="A164" s="108">
        <f t="shared" si="11"/>
        <v>122000</v>
      </c>
      <c r="B164" s="65">
        <f t="shared" si="16"/>
        <v>125700</v>
      </c>
      <c r="D164" s="72"/>
      <c r="E164" s="73">
        <f t="shared" si="14"/>
        <v>0.21096677887066989</v>
      </c>
      <c r="F164" s="74">
        <f t="shared" si="17"/>
        <v>0</v>
      </c>
      <c r="G164" s="75">
        <f t="shared" si="15"/>
        <v>0</v>
      </c>
      <c r="H164" s="162">
        <f t="shared" si="18"/>
        <v>125556.11029370605</v>
      </c>
      <c r="I164" s="162">
        <f t="shared" si="19"/>
        <v>125843.88970629395</v>
      </c>
    </row>
    <row r="165" spans="1:9" x14ac:dyDescent="0.25">
      <c r="A165" s="108">
        <f t="shared" si="11"/>
        <v>123000</v>
      </c>
      <c r="B165" s="65">
        <f t="shared" si="16"/>
        <v>126700</v>
      </c>
      <c r="D165" s="72"/>
      <c r="E165" s="73">
        <f t="shared" si="14"/>
        <v>0.19671787683837605</v>
      </c>
      <c r="F165" s="74">
        <f t="shared" si="17"/>
        <v>0</v>
      </c>
      <c r="G165" s="75">
        <f t="shared" si="15"/>
        <v>0</v>
      </c>
      <c r="H165" s="162">
        <f t="shared" si="18"/>
        <v>126560.82755937887</v>
      </c>
      <c r="I165" s="162">
        <f t="shared" si="19"/>
        <v>126839.17244062113</v>
      </c>
    </row>
    <row r="166" spans="1:9" x14ac:dyDescent="0.25">
      <c r="A166" s="108">
        <f t="shared" si="11"/>
        <v>124000</v>
      </c>
      <c r="B166" s="65">
        <f t="shared" si="16"/>
        <v>127700</v>
      </c>
      <c r="D166" s="72"/>
      <c r="E166" s="73">
        <f t="shared" si="14"/>
        <v>0.18343135954842296</v>
      </c>
      <c r="F166" s="74">
        <f t="shared" si="17"/>
        <v>0</v>
      </c>
      <c r="G166" s="75">
        <f t="shared" si="15"/>
        <v>0</v>
      </c>
      <c r="H166" s="162">
        <f t="shared" si="18"/>
        <v>127565.39017468787</v>
      </c>
      <c r="I166" s="162">
        <f t="shared" si="19"/>
        <v>127834.60982531213</v>
      </c>
    </row>
    <row r="167" spans="1:9" x14ac:dyDescent="0.25">
      <c r="A167" s="108">
        <f t="shared" si="11"/>
        <v>125000</v>
      </c>
      <c r="B167" s="65">
        <f t="shared" si="16"/>
        <v>128700</v>
      </c>
      <c r="D167" s="72"/>
      <c r="E167" s="73">
        <f t="shared" si="14"/>
        <v>0.17104222659655555</v>
      </c>
      <c r="F167" s="74">
        <f t="shared" si="17"/>
        <v>0</v>
      </c>
      <c r="G167" s="75">
        <f t="shared" si="15"/>
        <v>0</v>
      </c>
      <c r="H167" s="162">
        <f t="shared" si="18"/>
        <v>128569.80320967504</v>
      </c>
      <c r="I167" s="162">
        <f t="shared" si="19"/>
        <v>128830.19679032496</v>
      </c>
    </row>
    <row r="168" spans="1:9" ht="15.75" thickBot="1" x14ac:dyDescent="0.3">
      <c r="A168" s="109">
        <f t="shared" si="11"/>
        <v>126000</v>
      </c>
      <c r="B168" s="79">
        <f t="shared" si="16"/>
        <v>129700</v>
      </c>
      <c r="C168" s="27"/>
      <c r="D168" s="80"/>
      <c r="E168" s="81">
        <f t="shared" si="14"/>
        <v>0.15948986776922669</v>
      </c>
      <c r="F168" s="82">
        <f t="shared" si="17"/>
        <v>0</v>
      </c>
      <c r="G168" s="83">
        <f t="shared" si="15"/>
        <v>0</v>
      </c>
      <c r="H168" s="163">
        <f t="shared" si="18"/>
        <v>129574.07156816662</v>
      </c>
      <c r="I168" s="163">
        <f t="shared" si="19"/>
        <v>129825.92843183338</v>
      </c>
    </row>
    <row r="169" spans="1:9" x14ac:dyDescent="0.25">
      <c r="B169" s="67"/>
      <c r="C169" s="67"/>
      <c r="D169" s="67"/>
    </row>
  </sheetData>
  <mergeCells count="7">
    <mergeCell ref="F26:I30"/>
    <mergeCell ref="A3:D3"/>
    <mergeCell ref="A10:D10"/>
    <mergeCell ref="A17:D17"/>
    <mergeCell ref="A25:D25"/>
    <mergeCell ref="F3:I3"/>
    <mergeCell ref="F25:I25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69"/>
  <sheetViews>
    <sheetView workbookViewId="0">
      <selection activeCell="C7" sqref="C7"/>
    </sheetView>
  </sheetViews>
  <sheetFormatPr defaultColWidth="8.42578125" defaultRowHeight="15" x14ac:dyDescent="0.25"/>
  <cols>
    <col min="1" max="1" width="19.5703125" style="3" customWidth="1"/>
    <col min="2" max="2" width="6.7109375" style="21" customWidth="1"/>
    <col min="3" max="3" width="7.42578125" style="21" customWidth="1"/>
    <col min="4" max="4" width="8.140625" style="21" customWidth="1"/>
    <col min="5" max="5" width="10" style="3" customWidth="1"/>
    <col min="6" max="6" width="9.28515625" style="3" bestFit="1" customWidth="1"/>
    <col min="7" max="7" width="6.85546875" style="3" customWidth="1"/>
    <col min="8" max="8" width="10.42578125" style="3" bestFit="1" customWidth="1"/>
    <col min="9" max="12" width="6.42578125" style="3" customWidth="1"/>
    <col min="13" max="13" width="10.140625" style="3" bestFit="1" customWidth="1"/>
    <col min="14" max="17" width="6.42578125" style="3" customWidth="1"/>
    <col min="18" max="19" width="9.42578125" style="3" customWidth="1"/>
    <col min="20" max="20" width="9.85546875" style="3" customWidth="1"/>
    <col min="21" max="22" width="6.42578125" style="3" customWidth="1"/>
    <col min="23" max="23" width="8" style="3" customWidth="1"/>
    <col min="24" max="24" width="6.85546875" style="3" customWidth="1"/>
    <col min="25" max="256" width="8.42578125" style="3"/>
    <col min="257" max="257" width="17.85546875" style="3" customWidth="1"/>
    <col min="258" max="258" width="6.7109375" style="3" customWidth="1"/>
    <col min="259" max="259" width="7.42578125" style="3" customWidth="1"/>
    <col min="260" max="260" width="8.140625" style="3" customWidth="1"/>
    <col min="261" max="261" width="10" style="3" customWidth="1"/>
    <col min="262" max="262" width="8" style="3" customWidth="1"/>
    <col min="263" max="263" width="6.85546875" style="3" customWidth="1"/>
    <col min="264" max="264" width="7.42578125" style="3" customWidth="1"/>
    <col min="265" max="273" width="6.42578125" style="3" customWidth="1"/>
    <col min="274" max="275" width="9.42578125" style="3" customWidth="1"/>
    <col min="276" max="276" width="9.85546875" style="3" customWidth="1"/>
    <col min="277" max="278" width="6.42578125" style="3" customWidth="1"/>
    <col min="279" max="279" width="8" style="3" customWidth="1"/>
    <col min="280" max="280" width="6.85546875" style="3" customWidth="1"/>
    <col min="281" max="512" width="8.42578125" style="3"/>
    <col min="513" max="513" width="17.85546875" style="3" customWidth="1"/>
    <col min="514" max="514" width="6.7109375" style="3" customWidth="1"/>
    <col min="515" max="515" width="7.42578125" style="3" customWidth="1"/>
    <col min="516" max="516" width="8.140625" style="3" customWidth="1"/>
    <col min="517" max="517" width="10" style="3" customWidth="1"/>
    <col min="518" max="518" width="8" style="3" customWidth="1"/>
    <col min="519" max="519" width="6.85546875" style="3" customWidth="1"/>
    <col min="520" max="520" width="7.42578125" style="3" customWidth="1"/>
    <col min="521" max="529" width="6.42578125" style="3" customWidth="1"/>
    <col min="530" max="531" width="9.42578125" style="3" customWidth="1"/>
    <col min="532" max="532" width="9.85546875" style="3" customWidth="1"/>
    <col min="533" max="534" width="6.42578125" style="3" customWidth="1"/>
    <col min="535" max="535" width="8" style="3" customWidth="1"/>
    <col min="536" max="536" width="6.85546875" style="3" customWidth="1"/>
    <col min="537" max="768" width="8.42578125" style="3"/>
    <col min="769" max="769" width="17.85546875" style="3" customWidth="1"/>
    <col min="770" max="770" width="6.7109375" style="3" customWidth="1"/>
    <col min="771" max="771" width="7.42578125" style="3" customWidth="1"/>
    <col min="772" max="772" width="8.140625" style="3" customWidth="1"/>
    <col min="773" max="773" width="10" style="3" customWidth="1"/>
    <col min="774" max="774" width="8" style="3" customWidth="1"/>
    <col min="775" max="775" width="6.85546875" style="3" customWidth="1"/>
    <col min="776" max="776" width="7.42578125" style="3" customWidth="1"/>
    <col min="777" max="785" width="6.42578125" style="3" customWidth="1"/>
    <col min="786" max="787" width="9.42578125" style="3" customWidth="1"/>
    <col min="788" max="788" width="9.85546875" style="3" customWidth="1"/>
    <col min="789" max="790" width="6.42578125" style="3" customWidth="1"/>
    <col min="791" max="791" width="8" style="3" customWidth="1"/>
    <col min="792" max="792" width="6.85546875" style="3" customWidth="1"/>
    <col min="793" max="1024" width="8.42578125" style="3"/>
    <col min="1025" max="1025" width="17.85546875" style="3" customWidth="1"/>
    <col min="1026" max="1026" width="6.7109375" style="3" customWidth="1"/>
    <col min="1027" max="1027" width="7.42578125" style="3" customWidth="1"/>
    <col min="1028" max="1028" width="8.140625" style="3" customWidth="1"/>
    <col min="1029" max="1029" width="10" style="3" customWidth="1"/>
    <col min="1030" max="1030" width="8" style="3" customWidth="1"/>
    <col min="1031" max="1031" width="6.85546875" style="3" customWidth="1"/>
    <col min="1032" max="1032" width="7.42578125" style="3" customWidth="1"/>
    <col min="1033" max="1041" width="6.42578125" style="3" customWidth="1"/>
    <col min="1042" max="1043" width="9.42578125" style="3" customWidth="1"/>
    <col min="1044" max="1044" width="9.85546875" style="3" customWidth="1"/>
    <col min="1045" max="1046" width="6.42578125" style="3" customWidth="1"/>
    <col min="1047" max="1047" width="8" style="3" customWidth="1"/>
    <col min="1048" max="1048" width="6.85546875" style="3" customWidth="1"/>
    <col min="1049" max="1280" width="8.42578125" style="3"/>
    <col min="1281" max="1281" width="17.85546875" style="3" customWidth="1"/>
    <col min="1282" max="1282" width="6.7109375" style="3" customWidth="1"/>
    <col min="1283" max="1283" width="7.42578125" style="3" customWidth="1"/>
    <col min="1284" max="1284" width="8.140625" style="3" customWidth="1"/>
    <col min="1285" max="1285" width="10" style="3" customWidth="1"/>
    <col min="1286" max="1286" width="8" style="3" customWidth="1"/>
    <col min="1287" max="1287" width="6.85546875" style="3" customWidth="1"/>
    <col min="1288" max="1288" width="7.42578125" style="3" customWidth="1"/>
    <col min="1289" max="1297" width="6.42578125" style="3" customWidth="1"/>
    <col min="1298" max="1299" width="9.42578125" style="3" customWidth="1"/>
    <col min="1300" max="1300" width="9.85546875" style="3" customWidth="1"/>
    <col min="1301" max="1302" width="6.42578125" style="3" customWidth="1"/>
    <col min="1303" max="1303" width="8" style="3" customWidth="1"/>
    <col min="1304" max="1304" width="6.85546875" style="3" customWidth="1"/>
    <col min="1305" max="1536" width="8.42578125" style="3"/>
    <col min="1537" max="1537" width="17.85546875" style="3" customWidth="1"/>
    <col min="1538" max="1538" width="6.7109375" style="3" customWidth="1"/>
    <col min="1539" max="1539" width="7.42578125" style="3" customWidth="1"/>
    <col min="1540" max="1540" width="8.140625" style="3" customWidth="1"/>
    <col min="1541" max="1541" width="10" style="3" customWidth="1"/>
    <col min="1542" max="1542" width="8" style="3" customWidth="1"/>
    <col min="1543" max="1543" width="6.85546875" style="3" customWidth="1"/>
    <col min="1544" max="1544" width="7.42578125" style="3" customWidth="1"/>
    <col min="1545" max="1553" width="6.42578125" style="3" customWidth="1"/>
    <col min="1554" max="1555" width="9.42578125" style="3" customWidth="1"/>
    <col min="1556" max="1556" width="9.85546875" style="3" customWidth="1"/>
    <col min="1557" max="1558" width="6.42578125" style="3" customWidth="1"/>
    <col min="1559" max="1559" width="8" style="3" customWidth="1"/>
    <col min="1560" max="1560" width="6.85546875" style="3" customWidth="1"/>
    <col min="1561" max="1792" width="8.42578125" style="3"/>
    <col min="1793" max="1793" width="17.85546875" style="3" customWidth="1"/>
    <col min="1794" max="1794" width="6.7109375" style="3" customWidth="1"/>
    <col min="1795" max="1795" width="7.42578125" style="3" customWidth="1"/>
    <col min="1796" max="1796" width="8.140625" style="3" customWidth="1"/>
    <col min="1797" max="1797" width="10" style="3" customWidth="1"/>
    <col min="1798" max="1798" width="8" style="3" customWidth="1"/>
    <col min="1799" max="1799" width="6.85546875" style="3" customWidth="1"/>
    <col min="1800" max="1800" width="7.42578125" style="3" customWidth="1"/>
    <col min="1801" max="1809" width="6.42578125" style="3" customWidth="1"/>
    <col min="1810" max="1811" width="9.42578125" style="3" customWidth="1"/>
    <col min="1812" max="1812" width="9.85546875" style="3" customWidth="1"/>
    <col min="1813" max="1814" width="6.42578125" style="3" customWidth="1"/>
    <col min="1815" max="1815" width="8" style="3" customWidth="1"/>
    <col min="1816" max="1816" width="6.85546875" style="3" customWidth="1"/>
    <col min="1817" max="2048" width="8.42578125" style="3"/>
    <col min="2049" max="2049" width="17.85546875" style="3" customWidth="1"/>
    <col min="2050" max="2050" width="6.7109375" style="3" customWidth="1"/>
    <col min="2051" max="2051" width="7.42578125" style="3" customWidth="1"/>
    <col min="2052" max="2052" width="8.140625" style="3" customWidth="1"/>
    <col min="2053" max="2053" width="10" style="3" customWidth="1"/>
    <col min="2054" max="2054" width="8" style="3" customWidth="1"/>
    <col min="2055" max="2055" width="6.85546875" style="3" customWidth="1"/>
    <col min="2056" max="2056" width="7.42578125" style="3" customWidth="1"/>
    <col min="2057" max="2065" width="6.42578125" style="3" customWidth="1"/>
    <col min="2066" max="2067" width="9.42578125" style="3" customWidth="1"/>
    <col min="2068" max="2068" width="9.85546875" style="3" customWidth="1"/>
    <col min="2069" max="2070" width="6.42578125" style="3" customWidth="1"/>
    <col min="2071" max="2071" width="8" style="3" customWidth="1"/>
    <col min="2072" max="2072" width="6.85546875" style="3" customWidth="1"/>
    <col min="2073" max="2304" width="8.42578125" style="3"/>
    <col min="2305" max="2305" width="17.85546875" style="3" customWidth="1"/>
    <col min="2306" max="2306" width="6.7109375" style="3" customWidth="1"/>
    <col min="2307" max="2307" width="7.42578125" style="3" customWidth="1"/>
    <col min="2308" max="2308" width="8.140625" style="3" customWidth="1"/>
    <col min="2309" max="2309" width="10" style="3" customWidth="1"/>
    <col min="2310" max="2310" width="8" style="3" customWidth="1"/>
    <col min="2311" max="2311" width="6.85546875" style="3" customWidth="1"/>
    <col min="2312" max="2312" width="7.42578125" style="3" customWidth="1"/>
    <col min="2313" max="2321" width="6.42578125" style="3" customWidth="1"/>
    <col min="2322" max="2323" width="9.42578125" style="3" customWidth="1"/>
    <col min="2324" max="2324" width="9.85546875" style="3" customWidth="1"/>
    <col min="2325" max="2326" width="6.42578125" style="3" customWidth="1"/>
    <col min="2327" max="2327" width="8" style="3" customWidth="1"/>
    <col min="2328" max="2328" width="6.85546875" style="3" customWidth="1"/>
    <col min="2329" max="2560" width="8.42578125" style="3"/>
    <col min="2561" max="2561" width="17.85546875" style="3" customWidth="1"/>
    <col min="2562" max="2562" width="6.7109375" style="3" customWidth="1"/>
    <col min="2563" max="2563" width="7.42578125" style="3" customWidth="1"/>
    <col min="2564" max="2564" width="8.140625" style="3" customWidth="1"/>
    <col min="2565" max="2565" width="10" style="3" customWidth="1"/>
    <col min="2566" max="2566" width="8" style="3" customWidth="1"/>
    <col min="2567" max="2567" width="6.85546875" style="3" customWidth="1"/>
    <col min="2568" max="2568" width="7.42578125" style="3" customWidth="1"/>
    <col min="2569" max="2577" width="6.42578125" style="3" customWidth="1"/>
    <col min="2578" max="2579" width="9.42578125" style="3" customWidth="1"/>
    <col min="2580" max="2580" width="9.85546875" style="3" customWidth="1"/>
    <col min="2581" max="2582" width="6.42578125" style="3" customWidth="1"/>
    <col min="2583" max="2583" width="8" style="3" customWidth="1"/>
    <col min="2584" max="2584" width="6.85546875" style="3" customWidth="1"/>
    <col min="2585" max="2816" width="8.42578125" style="3"/>
    <col min="2817" max="2817" width="17.85546875" style="3" customWidth="1"/>
    <col min="2818" max="2818" width="6.7109375" style="3" customWidth="1"/>
    <col min="2819" max="2819" width="7.42578125" style="3" customWidth="1"/>
    <col min="2820" max="2820" width="8.140625" style="3" customWidth="1"/>
    <col min="2821" max="2821" width="10" style="3" customWidth="1"/>
    <col min="2822" max="2822" width="8" style="3" customWidth="1"/>
    <col min="2823" max="2823" width="6.85546875" style="3" customWidth="1"/>
    <col min="2824" max="2824" width="7.42578125" style="3" customWidth="1"/>
    <col min="2825" max="2833" width="6.42578125" style="3" customWidth="1"/>
    <col min="2834" max="2835" width="9.42578125" style="3" customWidth="1"/>
    <col min="2836" max="2836" width="9.85546875" style="3" customWidth="1"/>
    <col min="2837" max="2838" width="6.42578125" style="3" customWidth="1"/>
    <col min="2839" max="2839" width="8" style="3" customWidth="1"/>
    <col min="2840" max="2840" width="6.85546875" style="3" customWidth="1"/>
    <col min="2841" max="3072" width="8.42578125" style="3"/>
    <col min="3073" max="3073" width="17.85546875" style="3" customWidth="1"/>
    <col min="3074" max="3074" width="6.7109375" style="3" customWidth="1"/>
    <col min="3075" max="3075" width="7.42578125" style="3" customWidth="1"/>
    <col min="3076" max="3076" width="8.140625" style="3" customWidth="1"/>
    <col min="3077" max="3077" width="10" style="3" customWidth="1"/>
    <col min="3078" max="3078" width="8" style="3" customWidth="1"/>
    <col min="3079" max="3079" width="6.85546875" style="3" customWidth="1"/>
    <col min="3080" max="3080" width="7.42578125" style="3" customWidth="1"/>
    <col min="3081" max="3089" width="6.42578125" style="3" customWidth="1"/>
    <col min="3090" max="3091" width="9.42578125" style="3" customWidth="1"/>
    <col min="3092" max="3092" width="9.85546875" style="3" customWidth="1"/>
    <col min="3093" max="3094" width="6.42578125" style="3" customWidth="1"/>
    <col min="3095" max="3095" width="8" style="3" customWidth="1"/>
    <col min="3096" max="3096" width="6.85546875" style="3" customWidth="1"/>
    <col min="3097" max="3328" width="8.42578125" style="3"/>
    <col min="3329" max="3329" width="17.85546875" style="3" customWidth="1"/>
    <col min="3330" max="3330" width="6.7109375" style="3" customWidth="1"/>
    <col min="3331" max="3331" width="7.42578125" style="3" customWidth="1"/>
    <col min="3332" max="3332" width="8.140625" style="3" customWidth="1"/>
    <col min="3333" max="3333" width="10" style="3" customWidth="1"/>
    <col min="3334" max="3334" width="8" style="3" customWidth="1"/>
    <col min="3335" max="3335" width="6.85546875" style="3" customWidth="1"/>
    <col min="3336" max="3336" width="7.42578125" style="3" customWidth="1"/>
    <col min="3337" max="3345" width="6.42578125" style="3" customWidth="1"/>
    <col min="3346" max="3347" width="9.42578125" style="3" customWidth="1"/>
    <col min="3348" max="3348" width="9.85546875" style="3" customWidth="1"/>
    <col min="3349" max="3350" width="6.42578125" style="3" customWidth="1"/>
    <col min="3351" max="3351" width="8" style="3" customWidth="1"/>
    <col min="3352" max="3352" width="6.85546875" style="3" customWidth="1"/>
    <col min="3353" max="3584" width="8.42578125" style="3"/>
    <col min="3585" max="3585" width="17.85546875" style="3" customWidth="1"/>
    <col min="3586" max="3586" width="6.7109375" style="3" customWidth="1"/>
    <col min="3587" max="3587" width="7.42578125" style="3" customWidth="1"/>
    <col min="3588" max="3588" width="8.140625" style="3" customWidth="1"/>
    <col min="3589" max="3589" width="10" style="3" customWidth="1"/>
    <col min="3590" max="3590" width="8" style="3" customWidth="1"/>
    <col min="3591" max="3591" width="6.85546875" style="3" customWidth="1"/>
    <col min="3592" max="3592" width="7.42578125" style="3" customWidth="1"/>
    <col min="3593" max="3601" width="6.42578125" style="3" customWidth="1"/>
    <col min="3602" max="3603" width="9.42578125" style="3" customWidth="1"/>
    <col min="3604" max="3604" width="9.85546875" style="3" customWidth="1"/>
    <col min="3605" max="3606" width="6.42578125" style="3" customWidth="1"/>
    <col min="3607" max="3607" width="8" style="3" customWidth="1"/>
    <col min="3608" max="3608" width="6.85546875" style="3" customWidth="1"/>
    <col min="3609" max="3840" width="8.42578125" style="3"/>
    <col min="3841" max="3841" width="17.85546875" style="3" customWidth="1"/>
    <col min="3842" max="3842" width="6.7109375" style="3" customWidth="1"/>
    <col min="3843" max="3843" width="7.42578125" style="3" customWidth="1"/>
    <col min="3844" max="3844" width="8.140625" style="3" customWidth="1"/>
    <col min="3845" max="3845" width="10" style="3" customWidth="1"/>
    <col min="3846" max="3846" width="8" style="3" customWidth="1"/>
    <col min="3847" max="3847" width="6.85546875" style="3" customWidth="1"/>
    <col min="3848" max="3848" width="7.42578125" style="3" customWidth="1"/>
    <col min="3849" max="3857" width="6.42578125" style="3" customWidth="1"/>
    <col min="3858" max="3859" width="9.42578125" style="3" customWidth="1"/>
    <col min="3860" max="3860" width="9.85546875" style="3" customWidth="1"/>
    <col min="3861" max="3862" width="6.42578125" style="3" customWidth="1"/>
    <col min="3863" max="3863" width="8" style="3" customWidth="1"/>
    <col min="3864" max="3864" width="6.85546875" style="3" customWidth="1"/>
    <col min="3865" max="4096" width="8.42578125" style="3"/>
    <col min="4097" max="4097" width="17.85546875" style="3" customWidth="1"/>
    <col min="4098" max="4098" width="6.7109375" style="3" customWidth="1"/>
    <col min="4099" max="4099" width="7.42578125" style="3" customWidth="1"/>
    <col min="4100" max="4100" width="8.140625" style="3" customWidth="1"/>
    <col min="4101" max="4101" width="10" style="3" customWidth="1"/>
    <col min="4102" max="4102" width="8" style="3" customWidth="1"/>
    <col min="4103" max="4103" width="6.85546875" style="3" customWidth="1"/>
    <col min="4104" max="4104" width="7.42578125" style="3" customWidth="1"/>
    <col min="4105" max="4113" width="6.42578125" style="3" customWidth="1"/>
    <col min="4114" max="4115" width="9.42578125" style="3" customWidth="1"/>
    <col min="4116" max="4116" width="9.85546875" style="3" customWidth="1"/>
    <col min="4117" max="4118" width="6.42578125" style="3" customWidth="1"/>
    <col min="4119" max="4119" width="8" style="3" customWidth="1"/>
    <col min="4120" max="4120" width="6.85546875" style="3" customWidth="1"/>
    <col min="4121" max="4352" width="8.42578125" style="3"/>
    <col min="4353" max="4353" width="17.85546875" style="3" customWidth="1"/>
    <col min="4354" max="4354" width="6.7109375" style="3" customWidth="1"/>
    <col min="4355" max="4355" width="7.42578125" style="3" customWidth="1"/>
    <col min="4356" max="4356" width="8.140625" style="3" customWidth="1"/>
    <col min="4357" max="4357" width="10" style="3" customWidth="1"/>
    <col min="4358" max="4358" width="8" style="3" customWidth="1"/>
    <col min="4359" max="4359" width="6.85546875" style="3" customWidth="1"/>
    <col min="4360" max="4360" width="7.42578125" style="3" customWidth="1"/>
    <col min="4361" max="4369" width="6.42578125" style="3" customWidth="1"/>
    <col min="4370" max="4371" width="9.42578125" style="3" customWidth="1"/>
    <col min="4372" max="4372" width="9.85546875" style="3" customWidth="1"/>
    <col min="4373" max="4374" width="6.42578125" style="3" customWidth="1"/>
    <col min="4375" max="4375" width="8" style="3" customWidth="1"/>
    <col min="4376" max="4376" width="6.85546875" style="3" customWidth="1"/>
    <col min="4377" max="4608" width="8.42578125" style="3"/>
    <col min="4609" max="4609" width="17.85546875" style="3" customWidth="1"/>
    <col min="4610" max="4610" width="6.7109375" style="3" customWidth="1"/>
    <col min="4611" max="4611" width="7.42578125" style="3" customWidth="1"/>
    <col min="4612" max="4612" width="8.140625" style="3" customWidth="1"/>
    <col min="4613" max="4613" width="10" style="3" customWidth="1"/>
    <col min="4614" max="4614" width="8" style="3" customWidth="1"/>
    <col min="4615" max="4615" width="6.85546875" style="3" customWidth="1"/>
    <col min="4616" max="4616" width="7.42578125" style="3" customWidth="1"/>
    <col min="4617" max="4625" width="6.42578125" style="3" customWidth="1"/>
    <col min="4626" max="4627" width="9.42578125" style="3" customWidth="1"/>
    <col min="4628" max="4628" width="9.85546875" style="3" customWidth="1"/>
    <col min="4629" max="4630" width="6.42578125" style="3" customWidth="1"/>
    <col min="4631" max="4631" width="8" style="3" customWidth="1"/>
    <col min="4632" max="4632" width="6.85546875" style="3" customWidth="1"/>
    <col min="4633" max="4864" width="8.42578125" style="3"/>
    <col min="4865" max="4865" width="17.85546875" style="3" customWidth="1"/>
    <col min="4866" max="4866" width="6.7109375" style="3" customWidth="1"/>
    <col min="4867" max="4867" width="7.42578125" style="3" customWidth="1"/>
    <col min="4868" max="4868" width="8.140625" style="3" customWidth="1"/>
    <col min="4869" max="4869" width="10" style="3" customWidth="1"/>
    <col min="4870" max="4870" width="8" style="3" customWidth="1"/>
    <col min="4871" max="4871" width="6.85546875" style="3" customWidth="1"/>
    <col min="4872" max="4872" width="7.42578125" style="3" customWidth="1"/>
    <col min="4873" max="4881" width="6.42578125" style="3" customWidth="1"/>
    <col min="4882" max="4883" width="9.42578125" style="3" customWidth="1"/>
    <col min="4884" max="4884" width="9.85546875" style="3" customWidth="1"/>
    <col min="4885" max="4886" width="6.42578125" style="3" customWidth="1"/>
    <col min="4887" max="4887" width="8" style="3" customWidth="1"/>
    <col min="4888" max="4888" width="6.85546875" style="3" customWidth="1"/>
    <col min="4889" max="5120" width="8.42578125" style="3"/>
    <col min="5121" max="5121" width="17.85546875" style="3" customWidth="1"/>
    <col min="5122" max="5122" width="6.7109375" style="3" customWidth="1"/>
    <col min="5123" max="5123" width="7.42578125" style="3" customWidth="1"/>
    <col min="5124" max="5124" width="8.140625" style="3" customWidth="1"/>
    <col min="5125" max="5125" width="10" style="3" customWidth="1"/>
    <col min="5126" max="5126" width="8" style="3" customWidth="1"/>
    <col min="5127" max="5127" width="6.85546875" style="3" customWidth="1"/>
    <col min="5128" max="5128" width="7.42578125" style="3" customWidth="1"/>
    <col min="5129" max="5137" width="6.42578125" style="3" customWidth="1"/>
    <col min="5138" max="5139" width="9.42578125" style="3" customWidth="1"/>
    <col min="5140" max="5140" width="9.85546875" style="3" customWidth="1"/>
    <col min="5141" max="5142" width="6.42578125" style="3" customWidth="1"/>
    <col min="5143" max="5143" width="8" style="3" customWidth="1"/>
    <col min="5144" max="5144" width="6.85546875" style="3" customWidth="1"/>
    <col min="5145" max="5376" width="8.42578125" style="3"/>
    <col min="5377" max="5377" width="17.85546875" style="3" customWidth="1"/>
    <col min="5378" max="5378" width="6.7109375" style="3" customWidth="1"/>
    <col min="5379" max="5379" width="7.42578125" style="3" customWidth="1"/>
    <col min="5380" max="5380" width="8.140625" style="3" customWidth="1"/>
    <col min="5381" max="5381" width="10" style="3" customWidth="1"/>
    <col min="5382" max="5382" width="8" style="3" customWidth="1"/>
    <col min="5383" max="5383" width="6.85546875" style="3" customWidth="1"/>
    <col min="5384" max="5384" width="7.42578125" style="3" customWidth="1"/>
    <col min="5385" max="5393" width="6.42578125" style="3" customWidth="1"/>
    <col min="5394" max="5395" width="9.42578125" style="3" customWidth="1"/>
    <col min="5396" max="5396" width="9.85546875" style="3" customWidth="1"/>
    <col min="5397" max="5398" width="6.42578125" style="3" customWidth="1"/>
    <col min="5399" max="5399" width="8" style="3" customWidth="1"/>
    <col min="5400" max="5400" width="6.85546875" style="3" customWidth="1"/>
    <col min="5401" max="5632" width="8.42578125" style="3"/>
    <col min="5633" max="5633" width="17.85546875" style="3" customWidth="1"/>
    <col min="5634" max="5634" width="6.7109375" style="3" customWidth="1"/>
    <col min="5635" max="5635" width="7.42578125" style="3" customWidth="1"/>
    <col min="5636" max="5636" width="8.140625" style="3" customWidth="1"/>
    <col min="5637" max="5637" width="10" style="3" customWidth="1"/>
    <col min="5638" max="5638" width="8" style="3" customWidth="1"/>
    <col min="5639" max="5639" width="6.85546875" style="3" customWidth="1"/>
    <col min="5640" max="5640" width="7.42578125" style="3" customWidth="1"/>
    <col min="5641" max="5649" width="6.42578125" style="3" customWidth="1"/>
    <col min="5650" max="5651" width="9.42578125" style="3" customWidth="1"/>
    <col min="5652" max="5652" width="9.85546875" style="3" customWidth="1"/>
    <col min="5653" max="5654" width="6.42578125" style="3" customWidth="1"/>
    <col min="5655" max="5655" width="8" style="3" customWidth="1"/>
    <col min="5656" max="5656" width="6.85546875" style="3" customWidth="1"/>
    <col min="5657" max="5888" width="8.42578125" style="3"/>
    <col min="5889" max="5889" width="17.85546875" style="3" customWidth="1"/>
    <col min="5890" max="5890" width="6.7109375" style="3" customWidth="1"/>
    <col min="5891" max="5891" width="7.42578125" style="3" customWidth="1"/>
    <col min="5892" max="5892" width="8.140625" style="3" customWidth="1"/>
    <col min="5893" max="5893" width="10" style="3" customWidth="1"/>
    <col min="5894" max="5894" width="8" style="3" customWidth="1"/>
    <col min="5895" max="5895" width="6.85546875" style="3" customWidth="1"/>
    <col min="5896" max="5896" width="7.42578125" style="3" customWidth="1"/>
    <col min="5897" max="5905" width="6.42578125" style="3" customWidth="1"/>
    <col min="5906" max="5907" width="9.42578125" style="3" customWidth="1"/>
    <col min="5908" max="5908" width="9.85546875" style="3" customWidth="1"/>
    <col min="5909" max="5910" width="6.42578125" style="3" customWidth="1"/>
    <col min="5911" max="5911" width="8" style="3" customWidth="1"/>
    <col min="5912" max="5912" width="6.85546875" style="3" customWidth="1"/>
    <col min="5913" max="6144" width="8.42578125" style="3"/>
    <col min="6145" max="6145" width="17.85546875" style="3" customWidth="1"/>
    <col min="6146" max="6146" width="6.7109375" style="3" customWidth="1"/>
    <col min="6147" max="6147" width="7.42578125" style="3" customWidth="1"/>
    <col min="6148" max="6148" width="8.140625" style="3" customWidth="1"/>
    <col min="6149" max="6149" width="10" style="3" customWidth="1"/>
    <col min="6150" max="6150" width="8" style="3" customWidth="1"/>
    <col min="6151" max="6151" width="6.85546875" style="3" customWidth="1"/>
    <col min="6152" max="6152" width="7.42578125" style="3" customWidth="1"/>
    <col min="6153" max="6161" width="6.42578125" style="3" customWidth="1"/>
    <col min="6162" max="6163" width="9.42578125" style="3" customWidth="1"/>
    <col min="6164" max="6164" width="9.85546875" style="3" customWidth="1"/>
    <col min="6165" max="6166" width="6.42578125" style="3" customWidth="1"/>
    <col min="6167" max="6167" width="8" style="3" customWidth="1"/>
    <col min="6168" max="6168" width="6.85546875" style="3" customWidth="1"/>
    <col min="6169" max="6400" width="8.42578125" style="3"/>
    <col min="6401" max="6401" width="17.85546875" style="3" customWidth="1"/>
    <col min="6402" max="6402" width="6.7109375" style="3" customWidth="1"/>
    <col min="6403" max="6403" width="7.42578125" style="3" customWidth="1"/>
    <col min="6404" max="6404" width="8.140625" style="3" customWidth="1"/>
    <col min="6405" max="6405" width="10" style="3" customWidth="1"/>
    <col min="6406" max="6406" width="8" style="3" customWidth="1"/>
    <col min="6407" max="6407" width="6.85546875" style="3" customWidth="1"/>
    <col min="6408" max="6408" width="7.42578125" style="3" customWidth="1"/>
    <col min="6409" max="6417" width="6.42578125" style="3" customWidth="1"/>
    <col min="6418" max="6419" width="9.42578125" style="3" customWidth="1"/>
    <col min="6420" max="6420" width="9.85546875" style="3" customWidth="1"/>
    <col min="6421" max="6422" width="6.42578125" style="3" customWidth="1"/>
    <col min="6423" max="6423" width="8" style="3" customWidth="1"/>
    <col min="6424" max="6424" width="6.85546875" style="3" customWidth="1"/>
    <col min="6425" max="6656" width="8.42578125" style="3"/>
    <col min="6657" max="6657" width="17.85546875" style="3" customWidth="1"/>
    <col min="6658" max="6658" width="6.7109375" style="3" customWidth="1"/>
    <col min="6659" max="6659" width="7.42578125" style="3" customWidth="1"/>
    <col min="6660" max="6660" width="8.140625" style="3" customWidth="1"/>
    <col min="6661" max="6661" width="10" style="3" customWidth="1"/>
    <col min="6662" max="6662" width="8" style="3" customWidth="1"/>
    <col min="6663" max="6663" width="6.85546875" style="3" customWidth="1"/>
    <col min="6664" max="6664" width="7.42578125" style="3" customWidth="1"/>
    <col min="6665" max="6673" width="6.42578125" style="3" customWidth="1"/>
    <col min="6674" max="6675" width="9.42578125" style="3" customWidth="1"/>
    <col min="6676" max="6676" width="9.85546875" style="3" customWidth="1"/>
    <col min="6677" max="6678" width="6.42578125" style="3" customWidth="1"/>
    <col min="6679" max="6679" width="8" style="3" customWidth="1"/>
    <col min="6680" max="6680" width="6.85546875" style="3" customWidth="1"/>
    <col min="6681" max="6912" width="8.42578125" style="3"/>
    <col min="6913" max="6913" width="17.85546875" style="3" customWidth="1"/>
    <col min="6914" max="6914" width="6.7109375" style="3" customWidth="1"/>
    <col min="6915" max="6915" width="7.42578125" style="3" customWidth="1"/>
    <col min="6916" max="6916" width="8.140625" style="3" customWidth="1"/>
    <col min="6917" max="6917" width="10" style="3" customWidth="1"/>
    <col min="6918" max="6918" width="8" style="3" customWidth="1"/>
    <col min="6919" max="6919" width="6.85546875" style="3" customWidth="1"/>
    <col min="6920" max="6920" width="7.42578125" style="3" customWidth="1"/>
    <col min="6921" max="6929" width="6.42578125" style="3" customWidth="1"/>
    <col min="6930" max="6931" width="9.42578125" style="3" customWidth="1"/>
    <col min="6932" max="6932" width="9.85546875" style="3" customWidth="1"/>
    <col min="6933" max="6934" width="6.42578125" style="3" customWidth="1"/>
    <col min="6935" max="6935" width="8" style="3" customWidth="1"/>
    <col min="6936" max="6936" width="6.85546875" style="3" customWidth="1"/>
    <col min="6937" max="7168" width="8.42578125" style="3"/>
    <col min="7169" max="7169" width="17.85546875" style="3" customWidth="1"/>
    <col min="7170" max="7170" width="6.7109375" style="3" customWidth="1"/>
    <col min="7171" max="7171" width="7.42578125" style="3" customWidth="1"/>
    <col min="7172" max="7172" width="8.140625" style="3" customWidth="1"/>
    <col min="7173" max="7173" width="10" style="3" customWidth="1"/>
    <col min="7174" max="7174" width="8" style="3" customWidth="1"/>
    <col min="7175" max="7175" width="6.85546875" style="3" customWidth="1"/>
    <col min="7176" max="7176" width="7.42578125" style="3" customWidth="1"/>
    <col min="7177" max="7185" width="6.42578125" style="3" customWidth="1"/>
    <col min="7186" max="7187" width="9.42578125" style="3" customWidth="1"/>
    <col min="7188" max="7188" width="9.85546875" style="3" customWidth="1"/>
    <col min="7189" max="7190" width="6.42578125" style="3" customWidth="1"/>
    <col min="7191" max="7191" width="8" style="3" customWidth="1"/>
    <col min="7192" max="7192" width="6.85546875" style="3" customWidth="1"/>
    <col min="7193" max="7424" width="8.42578125" style="3"/>
    <col min="7425" max="7425" width="17.85546875" style="3" customWidth="1"/>
    <col min="7426" max="7426" width="6.7109375" style="3" customWidth="1"/>
    <col min="7427" max="7427" width="7.42578125" style="3" customWidth="1"/>
    <col min="7428" max="7428" width="8.140625" style="3" customWidth="1"/>
    <col min="7429" max="7429" width="10" style="3" customWidth="1"/>
    <col min="7430" max="7430" width="8" style="3" customWidth="1"/>
    <col min="7431" max="7431" width="6.85546875" style="3" customWidth="1"/>
    <col min="7432" max="7432" width="7.42578125" style="3" customWidth="1"/>
    <col min="7433" max="7441" width="6.42578125" style="3" customWidth="1"/>
    <col min="7442" max="7443" width="9.42578125" style="3" customWidth="1"/>
    <col min="7444" max="7444" width="9.85546875" style="3" customWidth="1"/>
    <col min="7445" max="7446" width="6.42578125" style="3" customWidth="1"/>
    <col min="7447" max="7447" width="8" style="3" customWidth="1"/>
    <col min="7448" max="7448" width="6.85546875" style="3" customWidth="1"/>
    <col min="7449" max="7680" width="8.42578125" style="3"/>
    <col min="7681" max="7681" width="17.85546875" style="3" customWidth="1"/>
    <col min="7682" max="7682" width="6.7109375" style="3" customWidth="1"/>
    <col min="7683" max="7683" width="7.42578125" style="3" customWidth="1"/>
    <col min="7684" max="7684" width="8.140625" style="3" customWidth="1"/>
    <col min="7685" max="7685" width="10" style="3" customWidth="1"/>
    <col min="7686" max="7686" width="8" style="3" customWidth="1"/>
    <col min="7687" max="7687" width="6.85546875" style="3" customWidth="1"/>
    <col min="7688" max="7688" width="7.42578125" style="3" customWidth="1"/>
    <col min="7689" max="7697" width="6.42578125" style="3" customWidth="1"/>
    <col min="7698" max="7699" width="9.42578125" style="3" customWidth="1"/>
    <col min="7700" max="7700" width="9.85546875" style="3" customWidth="1"/>
    <col min="7701" max="7702" width="6.42578125" style="3" customWidth="1"/>
    <col min="7703" max="7703" width="8" style="3" customWidth="1"/>
    <col min="7704" max="7704" width="6.85546875" style="3" customWidth="1"/>
    <col min="7705" max="7936" width="8.42578125" style="3"/>
    <col min="7937" max="7937" width="17.85546875" style="3" customWidth="1"/>
    <col min="7938" max="7938" width="6.7109375" style="3" customWidth="1"/>
    <col min="7939" max="7939" width="7.42578125" style="3" customWidth="1"/>
    <col min="7940" max="7940" width="8.140625" style="3" customWidth="1"/>
    <col min="7941" max="7941" width="10" style="3" customWidth="1"/>
    <col min="7942" max="7942" width="8" style="3" customWidth="1"/>
    <col min="7943" max="7943" width="6.85546875" style="3" customWidth="1"/>
    <col min="7944" max="7944" width="7.42578125" style="3" customWidth="1"/>
    <col min="7945" max="7953" width="6.42578125" style="3" customWidth="1"/>
    <col min="7954" max="7955" width="9.42578125" style="3" customWidth="1"/>
    <col min="7956" max="7956" width="9.85546875" style="3" customWidth="1"/>
    <col min="7957" max="7958" width="6.42578125" style="3" customWidth="1"/>
    <col min="7959" max="7959" width="8" style="3" customWidth="1"/>
    <col min="7960" max="7960" width="6.85546875" style="3" customWidth="1"/>
    <col min="7961" max="8192" width="8.42578125" style="3"/>
    <col min="8193" max="8193" width="17.85546875" style="3" customWidth="1"/>
    <col min="8194" max="8194" width="6.7109375" style="3" customWidth="1"/>
    <col min="8195" max="8195" width="7.42578125" style="3" customWidth="1"/>
    <col min="8196" max="8196" width="8.140625" style="3" customWidth="1"/>
    <col min="8197" max="8197" width="10" style="3" customWidth="1"/>
    <col min="8198" max="8198" width="8" style="3" customWidth="1"/>
    <col min="8199" max="8199" width="6.85546875" style="3" customWidth="1"/>
    <col min="8200" max="8200" width="7.42578125" style="3" customWidth="1"/>
    <col min="8201" max="8209" width="6.42578125" style="3" customWidth="1"/>
    <col min="8210" max="8211" width="9.42578125" style="3" customWidth="1"/>
    <col min="8212" max="8212" width="9.85546875" style="3" customWidth="1"/>
    <col min="8213" max="8214" width="6.42578125" style="3" customWidth="1"/>
    <col min="8215" max="8215" width="8" style="3" customWidth="1"/>
    <col min="8216" max="8216" width="6.85546875" style="3" customWidth="1"/>
    <col min="8217" max="8448" width="8.42578125" style="3"/>
    <col min="8449" max="8449" width="17.85546875" style="3" customWidth="1"/>
    <col min="8450" max="8450" width="6.7109375" style="3" customWidth="1"/>
    <col min="8451" max="8451" width="7.42578125" style="3" customWidth="1"/>
    <col min="8452" max="8452" width="8.140625" style="3" customWidth="1"/>
    <col min="8453" max="8453" width="10" style="3" customWidth="1"/>
    <col min="8454" max="8454" width="8" style="3" customWidth="1"/>
    <col min="8455" max="8455" width="6.85546875" style="3" customWidth="1"/>
    <col min="8456" max="8456" width="7.42578125" style="3" customWidth="1"/>
    <col min="8457" max="8465" width="6.42578125" style="3" customWidth="1"/>
    <col min="8466" max="8467" width="9.42578125" style="3" customWidth="1"/>
    <col min="8468" max="8468" width="9.85546875" style="3" customWidth="1"/>
    <col min="8469" max="8470" width="6.42578125" style="3" customWidth="1"/>
    <col min="8471" max="8471" width="8" style="3" customWidth="1"/>
    <col min="8472" max="8472" width="6.85546875" style="3" customWidth="1"/>
    <col min="8473" max="8704" width="8.42578125" style="3"/>
    <col min="8705" max="8705" width="17.85546875" style="3" customWidth="1"/>
    <col min="8706" max="8706" width="6.7109375" style="3" customWidth="1"/>
    <col min="8707" max="8707" width="7.42578125" style="3" customWidth="1"/>
    <col min="8708" max="8708" width="8.140625" style="3" customWidth="1"/>
    <col min="8709" max="8709" width="10" style="3" customWidth="1"/>
    <col min="8710" max="8710" width="8" style="3" customWidth="1"/>
    <col min="8711" max="8711" width="6.85546875" style="3" customWidth="1"/>
    <col min="8712" max="8712" width="7.42578125" style="3" customWidth="1"/>
    <col min="8713" max="8721" width="6.42578125" style="3" customWidth="1"/>
    <col min="8722" max="8723" width="9.42578125" style="3" customWidth="1"/>
    <col min="8724" max="8724" width="9.85546875" style="3" customWidth="1"/>
    <col min="8725" max="8726" width="6.42578125" style="3" customWidth="1"/>
    <col min="8727" max="8727" width="8" style="3" customWidth="1"/>
    <col min="8728" max="8728" width="6.85546875" style="3" customWidth="1"/>
    <col min="8729" max="8960" width="8.42578125" style="3"/>
    <col min="8961" max="8961" width="17.85546875" style="3" customWidth="1"/>
    <col min="8962" max="8962" width="6.7109375" style="3" customWidth="1"/>
    <col min="8963" max="8963" width="7.42578125" style="3" customWidth="1"/>
    <col min="8964" max="8964" width="8.140625" style="3" customWidth="1"/>
    <col min="8965" max="8965" width="10" style="3" customWidth="1"/>
    <col min="8966" max="8966" width="8" style="3" customWidth="1"/>
    <col min="8967" max="8967" width="6.85546875" style="3" customWidth="1"/>
    <col min="8968" max="8968" width="7.42578125" style="3" customWidth="1"/>
    <col min="8969" max="8977" width="6.42578125" style="3" customWidth="1"/>
    <col min="8978" max="8979" width="9.42578125" style="3" customWidth="1"/>
    <col min="8980" max="8980" width="9.85546875" style="3" customWidth="1"/>
    <col min="8981" max="8982" width="6.42578125" style="3" customWidth="1"/>
    <col min="8983" max="8983" width="8" style="3" customWidth="1"/>
    <col min="8984" max="8984" width="6.85546875" style="3" customWidth="1"/>
    <col min="8985" max="9216" width="8.42578125" style="3"/>
    <col min="9217" max="9217" width="17.85546875" style="3" customWidth="1"/>
    <col min="9218" max="9218" width="6.7109375" style="3" customWidth="1"/>
    <col min="9219" max="9219" width="7.42578125" style="3" customWidth="1"/>
    <col min="9220" max="9220" width="8.140625" style="3" customWidth="1"/>
    <col min="9221" max="9221" width="10" style="3" customWidth="1"/>
    <col min="9222" max="9222" width="8" style="3" customWidth="1"/>
    <col min="9223" max="9223" width="6.85546875" style="3" customWidth="1"/>
    <col min="9224" max="9224" width="7.42578125" style="3" customWidth="1"/>
    <col min="9225" max="9233" width="6.42578125" style="3" customWidth="1"/>
    <col min="9234" max="9235" width="9.42578125" style="3" customWidth="1"/>
    <col min="9236" max="9236" width="9.85546875" style="3" customWidth="1"/>
    <col min="9237" max="9238" width="6.42578125" style="3" customWidth="1"/>
    <col min="9239" max="9239" width="8" style="3" customWidth="1"/>
    <col min="9240" max="9240" width="6.85546875" style="3" customWidth="1"/>
    <col min="9241" max="9472" width="8.42578125" style="3"/>
    <col min="9473" max="9473" width="17.85546875" style="3" customWidth="1"/>
    <col min="9474" max="9474" width="6.7109375" style="3" customWidth="1"/>
    <col min="9475" max="9475" width="7.42578125" style="3" customWidth="1"/>
    <col min="9476" max="9476" width="8.140625" style="3" customWidth="1"/>
    <col min="9477" max="9477" width="10" style="3" customWidth="1"/>
    <col min="9478" max="9478" width="8" style="3" customWidth="1"/>
    <col min="9479" max="9479" width="6.85546875" style="3" customWidth="1"/>
    <col min="9480" max="9480" width="7.42578125" style="3" customWidth="1"/>
    <col min="9481" max="9489" width="6.42578125" style="3" customWidth="1"/>
    <col min="9490" max="9491" width="9.42578125" style="3" customWidth="1"/>
    <col min="9492" max="9492" width="9.85546875" style="3" customWidth="1"/>
    <col min="9493" max="9494" width="6.42578125" style="3" customWidth="1"/>
    <col min="9495" max="9495" width="8" style="3" customWidth="1"/>
    <col min="9496" max="9496" width="6.85546875" style="3" customWidth="1"/>
    <col min="9497" max="9728" width="8.42578125" style="3"/>
    <col min="9729" max="9729" width="17.85546875" style="3" customWidth="1"/>
    <col min="9730" max="9730" width="6.7109375" style="3" customWidth="1"/>
    <col min="9731" max="9731" width="7.42578125" style="3" customWidth="1"/>
    <col min="9732" max="9732" width="8.140625" style="3" customWidth="1"/>
    <col min="9733" max="9733" width="10" style="3" customWidth="1"/>
    <col min="9734" max="9734" width="8" style="3" customWidth="1"/>
    <col min="9735" max="9735" width="6.85546875" style="3" customWidth="1"/>
    <col min="9736" max="9736" width="7.42578125" style="3" customWidth="1"/>
    <col min="9737" max="9745" width="6.42578125" style="3" customWidth="1"/>
    <col min="9746" max="9747" width="9.42578125" style="3" customWidth="1"/>
    <col min="9748" max="9748" width="9.85546875" style="3" customWidth="1"/>
    <col min="9749" max="9750" width="6.42578125" style="3" customWidth="1"/>
    <col min="9751" max="9751" width="8" style="3" customWidth="1"/>
    <col min="9752" max="9752" width="6.85546875" style="3" customWidth="1"/>
    <col min="9753" max="9984" width="8.42578125" style="3"/>
    <col min="9985" max="9985" width="17.85546875" style="3" customWidth="1"/>
    <col min="9986" max="9986" width="6.7109375" style="3" customWidth="1"/>
    <col min="9987" max="9987" width="7.42578125" style="3" customWidth="1"/>
    <col min="9988" max="9988" width="8.140625" style="3" customWidth="1"/>
    <col min="9989" max="9989" width="10" style="3" customWidth="1"/>
    <col min="9990" max="9990" width="8" style="3" customWidth="1"/>
    <col min="9991" max="9991" width="6.85546875" style="3" customWidth="1"/>
    <col min="9992" max="9992" width="7.42578125" style="3" customWidth="1"/>
    <col min="9993" max="10001" width="6.42578125" style="3" customWidth="1"/>
    <col min="10002" max="10003" width="9.42578125" style="3" customWidth="1"/>
    <col min="10004" max="10004" width="9.85546875" style="3" customWidth="1"/>
    <col min="10005" max="10006" width="6.42578125" style="3" customWidth="1"/>
    <col min="10007" max="10007" width="8" style="3" customWidth="1"/>
    <col min="10008" max="10008" width="6.85546875" style="3" customWidth="1"/>
    <col min="10009" max="10240" width="8.42578125" style="3"/>
    <col min="10241" max="10241" width="17.85546875" style="3" customWidth="1"/>
    <col min="10242" max="10242" width="6.7109375" style="3" customWidth="1"/>
    <col min="10243" max="10243" width="7.42578125" style="3" customWidth="1"/>
    <col min="10244" max="10244" width="8.140625" style="3" customWidth="1"/>
    <col min="10245" max="10245" width="10" style="3" customWidth="1"/>
    <col min="10246" max="10246" width="8" style="3" customWidth="1"/>
    <col min="10247" max="10247" width="6.85546875" style="3" customWidth="1"/>
    <col min="10248" max="10248" width="7.42578125" style="3" customWidth="1"/>
    <col min="10249" max="10257" width="6.42578125" style="3" customWidth="1"/>
    <col min="10258" max="10259" width="9.42578125" style="3" customWidth="1"/>
    <col min="10260" max="10260" width="9.85546875" style="3" customWidth="1"/>
    <col min="10261" max="10262" width="6.42578125" style="3" customWidth="1"/>
    <col min="10263" max="10263" width="8" style="3" customWidth="1"/>
    <col min="10264" max="10264" width="6.85546875" style="3" customWidth="1"/>
    <col min="10265" max="10496" width="8.42578125" style="3"/>
    <col min="10497" max="10497" width="17.85546875" style="3" customWidth="1"/>
    <col min="10498" max="10498" width="6.7109375" style="3" customWidth="1"/>
    <col min="10499" max="10499" width="7.42578125" style="3" customWidth="1"/>
    <col min="10500" max="10500" width="8.140625" style="3" customWidth="1"/>
    <col min="10501" max="10501" width="10" style="3" customWidth="1"/>
    <col min="10502" max="10502" width="8" style="3" customWidth="1"/>
    <col min="10503" max="10503" width="6.85546875" style="3" customWidth="1"/>
    <col min="10504" max="10504" width="7.42578125" style="3" customWidth="1"/>
    <col min="10505" max="10513" width="6.42578125" style="3" customWidth="1"/>
    <col min="10514" max="10515" width="9.42578125" style="3" customWidth="1"/>
    <col min="10516" max="10516" width="9.85546875" style="3" customWidth="1"/>
    <col min="10517" max="10518" width="6.42578125" style="3" customWidth="1"/>
    <col min="10519" max="10519" width="8" style="3" customWidth="1"/>
    <col min="10520" max="10520" width="6.85546875" style="3" customWidth="1"/>
    <col min="10521" max="10752" width="8.42578125" style="3"/>
    <col min="10753" max="10753" width="17.85546875" style="3" customWidth="1"/>
    <col min="10754" max="10754" width="6.7109375" style="3" customWidth="1"/>
    <col min="10755" max="10755" width="7.42578125" style="3" customWidth="1"/>
    <col min="10756" max="10756" width="8.140625" style="3" customWidth="1"/>
    <col min="10757" max="10757" width="10" style="3" customWidth="1"/>
    <col min="10758" max="10758" width="8" style="3" customWidth="1"/>
    <col min="10759" max="10759" width="6.85546875" style="3" customWidth="1"/>
    <col min="10760" max="10760" width="7.42578125" style="3" customWidth="1"/>
    <col min="10761" max="10769" width="6.42578125" style="3" customWidth="1"/>
    <col min="10770" max="10771" width="9.42578125" style="3" customWidth="1"/>
    <col min="10772" max="10772" width="9.85546875" style="3" customWidth="1"/>
    <col min="10773" max="10774" width="6.42578125" style="3" customWidth="1"/>
    <col min="10775" max="10775" width="8" style="3" customWidth="1"/>
    <col min="10776" max="10776" width="6.85546875" style="3" customWidth="1"/>
    <col min="10777" max="11008" width="8.42578125" style="3"/>
    <col min="11009" max="11009" width="17.85546875" style="3" customWidth="1"/>
    <col min="11010" max="11010" width="6.7109375" style="3" customWidth="1"/>
    <col min="11011" max="11011" width="7.42578125" style="3" customWidth="1"/>
    <col min="11012" max="11012" width="8.140625" style="3" customWidth="1"/>
    <col min="11013" max="11013" width="10" style="3" customWidth="1"/>
    <col min="11014" max="11014" width="8" style="3" customWidth="1"/>
    <col min="11015" max="11015" width="6.85546875" style="3" customWidth="1"/>
    <col min="11016" max="11016" width="7.42578125" style="3" customWidth="1"/>
    <col min="11017" max="11025" width="6.42578125" style="3" customWidth="1"/>
    <col min="11026" max="11027" width="9.42578125" style="3" customWidth="1"/>
    <col min="11028" max="11028" width="9.85546875" style="3" customWidth="1"/>
    <col min="11029" max="11030" width="6.42578125" style="3" customWidth="1"/>
    <col min="11031" max="11031" width="8" style="3" customWidth="1"/>
    <col min="11032" max="11032" width="6.85546875" style="3" customWidth="1"/>
    <col min="11033" max="11264" width="8.42578125" style="3"/>
    <col min="11265" max="11265" width="17.85546875" style="3" customWidth="1"/>
    <col min="11266" max="11266" width="6.7109375" style="3" customWidth="1"/>
    <col min="11267" max="11267" width="7.42578125" style="3" customWidth="1"/>
    <col min="11268" max="11268" width="8.140625" style="3" customWidth="1"/>
    <col min="11269" max="11269" width="10" style="3" customWidth="1"/>
    <col min="11270" max="11270" width="8" style="3" customWidth="1"/>
    <col min="11271" max="11271" width="6.85546875" style="3" customWidth="1"/>
    <col min="11272" max="11272" width="7.42578125" style="3" customWidth="1"/>
    <col min="11273" max="11281" width="6.42578125" style="3" customWidth="1"/>
    <col min="11282" max="11283" width="9.42578125" style="3" customWidth="1"/>
    <col min="11284" max="11284" width="9.85546875" style="3" customWidth="1"/>
    <col min="11285" max="11286" width="6.42578125" style="3" customWidth="1"/>
    <col min="11287" max="11287" width="8" style="3" customWidth="1"/>
    <col min="11288" max="11288" width="6.85546875" style="3" customWidth="1"/>
    <col min="11289" max="11520" width="8.42578125" style="3"/>
    <col min="11521" max="11521" width="17.85546875" style="3" customWidth="1"/>
    <col min="11522" max="11522" width="6.7109375" style="3" customWidth="1"/>
    <col min="11523" max="11523" width="7.42578125" style="3" customWidth="1"/>
    <col min="11524" max="11524" width="8.140625" style="3" customWidth="1"/>
    <col min="11525" max="11525" width="10" style="3" customWidth="1"/>
    <col min="11526" max="11526" width="8" style="3" customWidth="1"/>
    <col min="11527" max="11527" width="6.85546875" style="3" customWidth="1"/>
    <col min="11528" max="11528" width="7.42578125" style="3" customWidth="1"/>
    <col min="11529" max="11537" width="6.42578125" style="3" customWidth="1"/>
    <col min="11538" max="11539" width="9.42578125" style="3" customWidth="1"/>
    <col min="11540" max="11540" width="9.85546875" style="3" customWidth="1"/>
    <col min="11541" max="11542" width="6.42578125" style="3" customWidth="1"/>
    <col min="11543" max="11543" width="8" style="3" customWidth="1"/>
    <col min="11544" max="11544" width="6.85546875" style="3" customWidth="1"/>
    <col min="11545" max="11776" width="8.42578125" style="3"/>
    <col min="11777" max="11777" width="17.85546875" style="3" customWidth="1"/>
    <col min="11778" max="11778" width="6.7109375" style="3" customWidth="1"/>
    <col min="11779" max="11779" width="7.42578125" style="3" customWidth="1"/>
    <col min="11780" max="11780" width="8.140625" style="3" customWidth="1"/>
    <col min="11781" max="11781" width="10" style="3" customWidth="1"/>
    <col min="11782" max="11782" width="8" style="3" customWidth="1"/>
    <col min="11783" max="11783" width="6.85546875" style="3" customWidth="1"/>
    <col min="11784" max="11784" width="7.42578125" style="3" customWidth="1"/>
    <col min="11785" max="11793" width="6.42578125" style="3" customWidth="1"/>
    <col min="11794" max="11795" width="9.42578125" style="3" customWidth="1"/>
    <col min="11796" max="11796" width="9.85546875" style="3" customWidth="1"/>
    <col min="11797" max="11798" width="6.42578125" style="3" customWidth="1"/>
    <col min="11799" max="11799" width="8" style="3" customWidth="1"/>
    <col min="11800" max="11800" width="6.85546875" style="3" customWidth="1"/>
    <col min="11801" max="12032" width="8.42578125" style="3"/>
    <col min="12033" max="12033" width="17.85546875" style="3" customWidth="1"/>
    <col min="12034" max="12034" width="6.7109375" style="3" customWidth="1"/>
    <col min="12035" max="12035" width="7.42578125" style="3" customWidth="1"/>
    <col min="12036" max="12036" width="8.140625" style="3" customWidth="1"/>
    <col min="12037" max="12037" width="10" style="3" customWidth="1"/>
    <col min="12038" max="12038" width="8" style="3" customWidth="1"/>
    <col min="12039" max="12039" width="6.85546875" style="3" customWidth="1"/>
    <col min="12040" max="12040" width="7.42578125" style="3" customWidth="1"/>
    <col min="12041" max="12049" width="6.42578125" style="3" customWidth="1"/>
    <col min="12050" max="12051" width="9.42578125" style="3" customWidth="1"/>
    <col min="12052" max="12052" width="9.85546875" style="3" customWidth="1"/>
    <col min="12053" max="12054" width="6.42578125" style="3" customWidth="1"/>
    <col min="12055" max="12055" width="8" style="3" customWidth="1"/>
    <col min="12056" max="12056" width="6.85546875" style="3" customWidth="1"/>
    <col min="12057" max="12288" width="8.42578125" style="3"/>
    <col min="12289" max="12289" width="17.85546875" style="3" customWidth="1"/>
    <col min="12290" max="12290" width="6.7109375" style="3" customWidth="1"/>
    <col min="12291" max="12291" width="7.42578125" style="3" customWidth="1"/>
    <col min="12292" max="12292" width="8.140625" style="3" customWidth="1"/>
    <col min="12293" max="12293" width="10" style="3" customWidth="1"/>
    <col min="12294" max="12294" width="8" style="3" customWidth="1"/>
    <col min="12295" max="12295" width="6.85546875" style="3" customWidth="1"/>
    <col min="12296" max="12296" width="7.42578125" style="3" customWidth="1"/>
    <col min="12297" max="12305" width="6.42578125" style="3" customWidth="1"/>
    <col min="12306" max="12307" width="9.42578125" style="3" customWidth="1"/>
    <col min="12308" max="12308" width="9.85546875" style="3" customWidth="1"/>
    <col min="12309" max="12310" width="6.42578125" style="3" customWidth="1"/>
    <col min="12311" max="12311" width="8" style="3" customWidth="1"/>
    <col min="12312" max="12312" width="6.85546875" style="3" customWidth="1"/>
    <col min="12313" max="12544" width="8.42578125" style="3"/>
    <col min="12545" max="12545" width="17.85546875" style="3" customWidth="1"/>
    <col min="12546" max="12546" width="6.7109375" style="3" customWidth="1"/>
    <col min="12547" max="12547" width="7.42578125" style="3" customWidth="1"/>
    <col min="12548" max="12548" width="8.140625" style="3" customWidth="1"/>
    <col min="12549" max="12549" width="10" style="3" customWidth="1"/>
    <col min="12550" max="12550" width="8" style="3" customWidth="1"/>
    <col min="12551" max="12551" width="6.85546875" style="3" customWidth="1"/>
    <col min="12552" max="12552" width="7.42578125" style="3" customWidth="1"/>
    <col min="12553" max="12561" width="6.42578125" style="3" customWidth="1"/>
    <col min="12562" max="12563" width="9.42578125" style="3" customWidth="1"/>
    <col min="12564" max="12564" width="9.85546875" style="3" customWidth="1"/>
    <col min="12565" max="12566" width="6.42578125" style="3" customWidth="1"/>
    <col min="12567" max="12567" width="8" style="3" customWidth="1"/>
    <col min="12568" max="12568" width="6.85546875" style="3" customWidth="1"/>
    <col min="12569" max="12800" width="8.42578125" style="3"/>
    <col min="12801" max="12801" width="17.85546875" style="3" customWidth="1"/>
    <col min="12802" max="12802" width="6.7109375" style="3" customWidth="1"/>
    <col min="12803" max="12803" width="7.42578125" style="3" customWidth="1"/>
    <col min="12804" max="12804" width="8.140625" style="3" customWidth="1"/>
    <col min="12805" max="12805" width="10" style="3" customWidth="1"/>
    <col min="12806" max="12806" width="8" style="3" customWidth="1"/>
    <col min="12807" max="12807" width="6.85546875" style="3" customWidth="1"/>
    <col min="12808" max="12808" width="7.42578125" style="3" customWidth="1"/>
    <col min="12809" max="12817" width="6.42578125" style="3" customWidth="1"/>
    <col min="12818" max="12819" width="9.42578125" style="3" customWidth="1"/>
    <col min="12820" max="12820" width="9.85546875" style="3" customWidth="1"/>
    <col min="12821" max="12822" width="6.42578125" style="3" customWidth="1"/>
    <col min="12823" max="12823" width="8" style="3" customWidth="1"/>
    <col min="12824" max="12824" width="6.85546875" style="3" customWidth="1"/>
    <col min="12825" max="13056" width="8.42578125" style="3"/>
    <col min="13057" max="13057" width="17.85546875" style="3" customWidth="1"/>
    <col min="13058" max="13058" width="6.7109375" style="3" customWidth="1"/>
    <col min="13059" max="13059" width="7.42578125" style="3" customWidth="1"/>
    <col min="13060" max="13060" width="8.140625" style="3" customWidth="1"/>
    <col min="13061" max="13061" width="10" style="3" customWidth="1"/>
    <col min="13062" max="13062" width="8" style="3" customWidth="1"/>
    <col min="13063" max="13063" width="6.85546875" style="3" customWidth="1"/>
    <col min="13064" max="13064" width="7.42578125" style="3" customWidth="1"/>
    <col min="13065" max="13073" width="6.42578125" style="3" customWidth="1"/>
    <col min="13074" max="13075" width="9.42578125" style="3" customWidth="1"/>
    <col min="13076" max="13076" width="9.85546875" style="3" customWidth="1"/>
    <col min="13077" max="13078" width="6.42578125" style="3" customWidth="1"/>
    <col min="13079" max="13079" width="8" style="3" customWidth="1"/>
    <col min="13080" max="13080" width="6.85546875" style="3" customWidth="1"/>
    <col min="13081" max="13312" width="8.42578125" style="3"/>
    <col min="13313" max="13313" width="17.85546875" style="3" customWidth="1"/>
    <col min="13314" max="13314" width="6.7109375" style="3" customWidth="1"/>
    <col min="13315" max="13315" width="7.42578125" style="3" customWidth="1"/>
    <col min="13316" max="13316" width="8.140625" style="3" customWidth="1"/>
    <col min="13317" max="13317" width="10" style="3" customWidth="1"/>
    <col min="13318" max="13318" width="8" style="3" customWidth="1"/>
    <col min="13319" max="13319" width="6.85546875" style="3" customWidth="1"/>
    <col min="13320" max="13320" width="7.42578125" style="3" customWidth="1"/>
    <col min="13321" max="13329" width="6.42578125" style="3" customWidth="1"/>
    <col min="13330" max="13331" width="9.42578125" style="3" customWidth="1"/>
    <col min="13332" max="13332" width="9.85546875" style="3" customWidth="1"/>
    <col min="13333" max="13334" width="6.42578125" style="3" customWidth="1"/>
    <col min="13335" max="13335" width="8" style="3" customWidth="1"/>
    <col min="13336" max="13336" width="6.85546875" style="3" customWidth="1"/>
    <col min="13337" max="13568" width="8.42578125" style="3"/>
    <col min="13569" max="13569" width="17.85546875" style="3" customWidth="1"/>
    <col min="13570" max="13570" width="6.7109375" style="3" customWidth="1"/>
    <col min="13571" max="13571" width="7.42578125" style="3" customWidth="1"/>
    <col min="13572" max="13572" width="8.140625" style="3" customWidth="1"/>
    <col min="13573" max="13573" width="10" style="3" customWidth="1"/>
    <col min="13574" max="13574" width="8" style="3" customWidth="1"/>
    <col min="13575" max="13575" width="6.85546875" style="3" customWidth="1"/>
    <col min="13576" max="13576" width="7.42578125" style="3" customWidth="1"/>
    <col min="13577" max="13585" width="6.42578125" style="3" customWidth="1"/>
    <col min="13586" max="13587" width="9.42578125" style="3" customWidth="1"/>
    <col min="13588" max="13588" width="9.85546875" style="3" customWidth="1"/>
    <col min="13589" max="13590" width="6.42578125" style="3" customWidth="1"/>
    <col min="13591" max="13591" width="8" style="3" customWidth="1"/>
    <col min="13592" max="13592" width="6.85546875" style="3" customWidth="1"/>
    <col min="13593" max="13824" width="8.42578125" style="3"/>
    <col min="13825" max="13825" width="17.85546875" style="3" customWidth="1"/>
    <col min="13826" max="13826" width="6.7109375" style="3" customWidth="1"/>
    <col min="13827" max="13827" width="7.42578125" style="3" customWidth="1"/>
    <col min="13828" max="13828" width="8.140625" style="3" customWidth="1"/>
    <col min="13829" max="13829" width="10" style="3" customWidth="1"/>
    <col min="13830" max="13830" width="8" style="3" customWidth="1"/>
    <col min="13831" max="13831" width="6.85546875" style="3" customWidth="1"/>
    <col min="13832" max="13832" width="7.42578125" style="3" customWidth="1"/>
    <col min="13833" max="13841" width="6.42578125" style="3" customWidth="1"/>
    <col min="13842" max="13843" width="9.42578125" style="3" customWidth="1"/>
    <col min="13844" max="13844" width="9.85546875" style="3" customWidth="1"/>
    <col min="13845" max="13846" width="6.42578125" style="3" customWidth="1"/>
    <col min="13847" max="13847" width="8" style="3" customWidth="1"/>
    <col min="13848" max="13848" width="6.85546875" style="3" customWidth="1"/>
    <col min="13849" max="14080" width="8.42578125" style="3"/>
    <col min="14081" max="14081" width="17.85546875" style="3" customWidth="1"/>
    <col min="14082" max="14082" width="6.7109375" style="3" customWidth="1"/>
    <col min="14083" max="14083" width="7.42578125" style="3" customWidth="1"/>
    <col min="14084" max="14084" width="8.140625" style="3" customWidth="1"/>
    <col min="14085" max="14085" width="10" style="3" customWidth="1"/>
    <col min="14086" max="14086" width="8" style="3" customWidth="1"/>
    <col min="14087" max="14087" width="6.85546875" style="3" customWidth="1"/>
    <col min="14088" max="14088" width="7.42578125" style="3" customWidth="1"/>
    <col min="14089" max="14097" width="6.42578125" style="3" customWidth="1"/>
    <col min="14098" max="14099" width="9.42578125" style="3" customWidth="1"/>
    <col min="14100" max="14100" width="9.85546875" style="3" customWidth="1"/>
    <col min="14101" max="14102" width="6.42578125" style="3" customWidth="1"/>
    <col min="14103" max="14103" width="8" style="3" customWidth="1"/>
    <col min="14104" max="14104" width="6.85546875" style="3" customWidth="1"/>
    <col min="14105" max="14336" width="8.42578125" style="3"/>
    <col min="14337" max="14337" width="17.85546875" style="3" customWidth="1"/>
    <col min="14338" max="14338" width="6.7109375" style="3" customWidth="1"/>
    <col min="14339" max="14339" width="7.42578125" style="3" customWidth="1"/>
    <col min="14340" max="14340" width="8.140625" style="3" customWidth="1"/>
    <col min="14341" max="14341" width="10" style="3" customWidth="1"/>
    <col min="14342" max="14342" width="8" style="3" customWidth="1"/>
    <col min="14343" max="14343" width="6.85546875" style="3" customWidth="1"/>
    <col min="14344" max="14344" width="7.42578125" style="3" customWidth="1"/>
    <col min="14345" max="14353" width="6.42578125" style="3" customWidth="1"/>
    <col min="14354" max="14355" width="9.42578125" style="3" customWidth="1"/>
    <col min="14356" max="14356" width="9.85546875" style="3" customWidth="1"/>
    <col min="14357" max="14358" width="6.42578125" style="3" customWidth="1"/>
    <col min="14359" max="14359" width="8" style="3" customWidth="1"/>
    <col min="14360" max="14360" width="6.85546875" style="3" customWidth="1"/>
    <col min="14361" max="14592" width="8.42578125" style="3"/>
    <col min="14593" max="14593" width="17.85546875" style="3" customWidth="1"/>
    <col min="14594" max="14594" width="6.7109375" style="3" customWidth="1"/>
    <col min="14595" max="14595" width="7.42578125" style="3" customWidth="1"/>
    <col min="14596" max="14596" width="8.140625" style="3" customWidth="1"/>
    <col min="14597" max="14597" width="10" style="3" customWidth="1"/>
    <col min="14598" max="14598" width="8" style="3" customWidth="1"/>
    <col min="14599" max="14599" width="6.85546875" style="3" customWidth="1"/>
    <col min="14600" max="14600" width="7.42578125" style="3" customWidth="1"/>
    <col min="14601" max="14609" width="6.42578125" style="3" customWidth="1"/>
    <col min="14610" max="14611" width="9.42578125" style="3" customWidth="1"/>
    <col min="14612" max="14612" width="9.85546875" style="3" customWidth="1"/>
    <col min="14613" max="14614" width="6.42578125" style="3" customWidth="1"/>
    <col min="14615" max="14615" width="8" style="3" customWidth="1"/>
    <col min="14616" max="14616" width="6.85546875" style="3" customWidth="1"/>
    <col min="14617" max="14848" width="8.42578125" style="3"/>
    <col min="14849" max="14849" width="17.85546875" style="3" customWidth="1"/>
    <col min="14850" max="14850" width="6.7109375" style="3" customWidth="1"/>
    <col min="14851" max="14851" width="7.42578125" style="3" customWidth="1"/>
    <col min="14852" max="14852" width="8.140625" style="3" customWidth="1"/>
    <col min="14853" max="14853" width="10" style="3" customWidth="1"/>
    <col min="14854" max="14854" width="8" style="3" customWidth="1"/>
    <col min="14855" max="14855" width="6.85546875" style="3" customWidth="1"/>
    <col min="14856" max="14856" width="7.42578125" style="3" customWidth="1"/>
    <col min="14857" max="14865" width="6.42578125" style="3" customWidth="1"/>
    <col min="14866" max="14867" width="9.42578125" style="3" customWidth="1"/>
    <col min="14868" max="14868" width="9.85546875" style="3" customWidth="1"/>
    <col min="14869" max="14870" width="6.42578125" style="3" customWidth="1"/>
    <col min="14871" max="14871" width="8" style="3" customWidth="1"/>
    <col min="14872" max="14872" width="6.85546875" style="3" customWidth="1"/>
    <col min="14873" max="15104" width="8.42578125" style="3"/>
    <col min="15105" max="15105" width="17.85546875" style="3" customWidth="1"/>
    <col min="15106" max="15106" width="6.7109375" style="3" customWidth="1"/>
    <col min="15107" max="15107" width="7.42578125" style="3" customWidth="1"/>
    <col min="15108" max="15108" width="8.140625" style="3" customWidth="1"/>
    <col min="15109" max="15109" width="10" style="3" customWidth="1"/>
    <col min="15110" max="15110" width="8" style="3" customWidth="1"/>
    <col min="15111" max="15111" width="6.85546875" style="3" customWidth="1"/>
    <col min="15112" max="15112" width="7.42578125" style="3" customWidth="1"/>
    <col min="15113" max="15121" width="6.42578125" style="3" customWidth="1"/>
    <col min="15122" max="15123" width="9.42578125" style="3" customWidth="1"/>
    <col min="15124" max="15124" width="9.85546875" style="3" customWidth="1"/>
    <col min="15125" max="15126" width="6.42578125" style="3" customWidth="1"/>
    <col min="15127" max="15127" width="8" style="3" customWidth="1"/>
    <col min="15128" max="15128" width="6.85546875" style="3" customWidth="1"/>
    <col min="15129" max="15360" width="8.42578125" style="3"/>
    <col min="15361" max="15361" width="17.85546875" style="3" customWidth="1"/>
    <col min="15362" max="15362" width="6.7109375" style="3" customWidth="1"/>
    <col min="15363" max="15363" width="7.42578125" style="3" customWidth="1"/>
    <col min="15364" max="15364" width="8.140625" style="3" customWidth="1"/>
    <col min="15365" max="15365" width="10" style="3" customWidth="1"/>
    <col min="15366" max="15366" width="8" style="3" customWidth="1"/>
    <col min="15367" max="15367" width="6.85546875" style="3" customWidth="1"/>
    <col min="15368" max="15368" width="7.42578125" style="3" customWidth="1"/>
    <col min="15369" max="15377" width="6.42578125" style="3" customWidth="1"/>
    <col min="15378" max="15379" width="9.42578125" style="3" customWidth="1"/>
    <col min="15380" max="15380" width="9.85546875" style="3" customWidth="1"/>
    <col min="15381" max="15382" width="6.42578125" style="3" customWidth="1"/>
    <col min="15383" max="15383" width="8" style="3" customWidth="1"/>
    <col min="15384" max="15384" width="6.85546875" style="3" customWidth="1"/>
    <col min="15385" max="15616" width="8.42578125" style="3"/>
    <col min="15617" max="15617" width="17.85546875" style="3" customWidth="1"/>
    <col min="15618" max="15618" width="6.7109375" style="3" customWidth="1"/>
    <col min="15619" max="15619" width="7.42578125" style="3" customWidth="1"/>
    <col min="15620" max="15620" width="8.140625" style="3" customWidth="1"/>
    <col min="15621" max="15621" width="10" style="3" customWidth="1"/>
    <col min="15622" max="15622" width="8" style="3" customWidth="1"/>
    <col min="15623" max="15623" width="6.85546875" style="3" customWidth="1"/>
    <col min="15624" max="15624" width="7.42578125" style="3" customWidth="1"/>
    <col min="15625" max="15633" width="6.42578125" style="3" customWidth="1"/>
    <col min="15634" max="15635" width="9.42578125" style="3" customWidth="1"/>
    <col min="15636" max="15636" width="9.85546875" style="3" customWidth="1"/>
    <col min="15637" max="15638" width="6.42578125" style="3" customWidth="1"/>
    <col min="15639" max="15639" width="8" style="3" customWidth="1"/>
    <col min="15640" max="15640" width="6.85546875" style="3" customWidth="1"/>
    <col min="15641" max="15872" width="8.42578125" style="3"/>
    <col min="15873" max="15873" width="17.85546875" style="3" customWidth="1"/>
    <col min="15874" max="15874" width="6.7109375" style="3" customWidth="1"/>
    <col min="15875" max="15875" width="7.42578125" style="3" customWidth="1"/>
    <col min="15876" max="15876" width="8.140625" style="3" customWidth="1"/>
    <col min="15877" max="15877" width="10" style="3" customWidth="1"/>
    <col min="15878" max="15878" width="8" style="3" customWidth="1"/>
    <col min="15879" max="15879" width="6.85546875" style="3" customWidth="1"/>
    <col min="15880" max="15880" width="7.42578125" style="3" customWidth="1"/>
    <col min="15881" max="15889" width="6.42578125" style="3" customWidth="1"/>
    <col min="15890" max="15891" width="9.42578125" style="3" customWidth="1"/>
    <col min="15892" max="15892" width="9.85546875" style="3" customWidth="1"/>
    <col min="15893" max="15894" width="6.42578125" style="3" customWidth="1"/>
    <col min="15895" max="15895" width="8" style="3" customWidth="1"/>
    <col min="15896" max="15896" width="6.85546875" style="3" customWidth="1"/>
    <col min="15897" max="16128" width="8.42578125" style="3"/>
    <col min="16129" max="16129" width="17.85546875" style="3" customWidth="1"/>
    <col min="16130" max="16130" width="6.7109375" style="3" customWidth="1"/>
    <col min="16131" max="16131" width="7.42578125" style="3" customWidth="1"/>
    <col min="16132" max="16132" width="8.140625" style="3" customWidth="1"/>
    <col min="16133" max="16133" width="10" style="3" customWidth="1"/>
    <col min="16134" max="16134" width="8" style="3" customWidth="1"/>
    <col min="16135" max="16135" width="6.85546875" style="3" customWidth="1"/>
    <col min="16136" max="16136" width="7.42578125" style="3" customWidth="1"/>
    <col min="16137" max="16145" width="6.42578125" style="3" customWidth="1"/>
    <col min="16146" max="16147" width="9.42578125" style="3" customWidth="1"/>
    <col min="16148" max="16148" width="9.85546875" style="3" customWidth="1"/>
    <col min="16149" max="16150" width="6.42578125" style="3" customWidth="1"/>
    <col min="16151" max="16151" width="8" style="3" customWidth="1"/>
    <col min="16152" max="16152" width="6.85546875" style="3" customWidth="1"/>
    <col min="16153" max="16384" width="8.42578125" style="3"/>
  </cols>
  <sheetData>
    <row r="1" spans="1:17" ht="15.75" x14ac:dyDescent="0.25">
      <c r="A1" s="2" t="s">
        <v>4</v>
      </c>
      <c r="B1" s="3"/>
      <c r="C1" s="3"/>
      <c r="D1" s="3"/>
    </row>
    <row r="2" spans="1:17" ht="16.5" thickBot="1" x14ac:dyDescent="0.3">
      <c r="A2" s="4" t="s">
        <v>68</v>
      </c>
      <c r="B2" s="3"/>
      <c r="C2" s="3"/>
      <c r="D2" s="3"/>
    </row>
    <row r="3" spans="1:17" ht="15.75" thickBot="1" x14ac:dyDescent="0.3">
      <c r="A3" s="147" t="s">
        <v>55</v>
      </c>
      <c r="B3" s="148"/>
      <c r="C3" s="148"/>
      <c r="D3" s="149"/>
      <c r="F3" s="153" t="s">
        <v>11</v>
      </c>
      <c r="G3" s="154"/>
      <c r="H3" s="154"/>
      <c r="I3" s="155"/>
      <c r="J3" s="5"/>
      <c r="K3" s="6"/>
    </row>
    <row r="4" spans="1:17" ht="15.75" thickBot="1" x14ac:dyDescent="0.3">
      <c r="A4" s="7" t="s">
        <v>5</v>
      </c>
      <c r="B4" s="8" t="s">
        <v>6</v>
      </c>
      <c r="C4" s="9">
        <v>1000</v>
      </c>
      <c r="D4" s="10" t="s">
        <v>7</v>
      </c>
      <c r="F4" s="11" t="s">
        <v>16</v>
      </c>
      <c r="G4" s="12" t="s">
        <v>17</v>
      </c>
      <c r="H4" s="11" t="s">
        <v>16</v>
      </c>
      <c r="I4" s="12" t="s">
        <v>18</v>
      </c>
      <c r="Q4" s="13"/>
    </row>
    <row r="5" spans="1:17" ht="15" customHeight="1" x14ac:dyDescent="0.25">
      <c r="A5" s="14" t="s">
        <v>12</v>
      </c>
      <c r="B5" s="15" t="s">
        <v>51</v>
      </c>
      <c r="C5" s="16">
        <v>28</v>
      </c>
      <c r="D5" s="17" t="s">
        <v>13</v>
      </c>
      <c r="F5" s="111">
        <v>3000</v>
      </c>
      <c r="G5" s="112">
        <f>(30.6+30.6+30.6+30.6)/4</f>
        <v>30.6</v>
      </c>
      <c r="H5" s="106">
        <v>3000</v>
      </c>
      <c r="I5" s="104">
        <f>(19.8+19.9+20.7+21.4)/4</f>
        <v>20.450000000000003</v>
      </c>
      <c r="Q5" s="13"/>
    </row>
    <row r="6" spans="1:17" x14ac:dyDescent="0.25">
      <c r="A6" s="20" t="s">
        <v>21</v>
      </c>
      <c r="B6" s="15" t="s">
        <v>22</v>
      </c>
      <c r="C6" s="16">
        <v>15000</v>
      </c>
      <c r="D6" s="17" t="s">
        <v>7</v>
      </c>
      <c r="F6" s="44">
        <v>5280</v>
      </c>
      <c r="G6" s="19">
        <f>(30.6+30.6+30.6+30.6)/4</f>
        <v>30.6</v>
      </c>
      <c r="H6" s="18">
        <v>5280</v>
      </c>
      <c r="I6" s="105">
        <f>(16.7+17+18.7)/3</f>
        <v>17.466666666666669</v>
      </c>
      <c r="K6" s="21"/>
      <c r="L6" s="21"/>
      <c r="M6" s="21"/>
    </row>
    <row r="7" spans="1:17" x14ac:dyDescent="0.25">
      <c r="A7" s="20" t="s">
        <v>24</v>
      </c>
      <c r="B7" s="15" t="s">
        <v>1</v>
      </c>
      <c r="C7" s="22">
        <v>3</v>
      </c>
      <c r="D7" s="17" t="s">
        <v>7</v>
      </c>
      <c r="F7" s="44">
        <v>7290</v>
      </c>
      <c r="G7" s="19">
        <f>(30.3+30.3+30.4+30.4)/4</f>
        <v>30.35</v>
      </c>
      <c r="H7" s="18">
        <v>7290</v>
      </c>
      <c r="I7" s="105">
        <f>(11.4+11.4+12.2)/3</f>
        <v>11.666666666666666</v>
      </c>
      <c r="K7" s="21"/>
      <c r="L7" s="21"/>
      <c r="M7" s="21"/>
      <c r="Q7" s="13"/>
    </row>
    <row r="8" spans="1:17" ht="15.75" thickBot="1" x14ac:dyDescent="0.3">
      <c r="A8" s="37" t="s">
        <v>26</v>
      </c>
      <c r="B8" s="38" t="s">
        <v>27</v>
      </c>
      <c r="C8" s="94">
        <v>0</v>
      </c>
      <c r="D8" s="95" t="s">
        <v>13</v>
      </c>
      <c r="F8" s="44">
        <v>10230</v>
      </c>
      <c r="G8" s="19">
        <f>(29.4+29.9+30.1+30.4)/4</f>
        <v>29.950000000000003</v>
      </c>
      <c r="H8" s="18">
        <v>10230</v>
      </c>
      <c r="I8" s="105">
        <f>(6.2+6.2+6.3+6.4)/4</f>
        <v>6.2750000000000004</v>
      </c>
      <c r="K8" s="21"/>
      <c r="L8" s="21"/>
      <c r="M8" s="21"/>
      <c r="Q8" s="13"/>
    </row>
    <row r="9" spans="1:17" ht="15.75" thickBot="1" x14ac:dyDescent="0.3">
      <c r="B9" s="3"/>
      <c r="C9" s="3"/>
      <c r="D9" s="3"/>
      <c r="E9" s="21"/>
      <c r="F9" s="44">
        <v>12400</v>
      </c>
      <c r="G9" s="19">
        <f>(21.8+26+28.2+28.5)/4</f>
        <v>26.125</v>
      </c>
      <c r="H9" s="18">
        <v>12400</v>
      </c>
      <c r="I9" s="105">
        <f>(3+3+3.2+3.5)/4</f>
        <v>3.1749999999999998</v>
      </c>
      <c r="K9" s="21"/>
      <c r="L9" s="21"/>
      <c r="M9" s="21"/>
      <c r="Q9" s="13"/>
    </row>
    <row r="10" spans="1:17" ht="15.75" thickBot="1" x14ac:dyDescent="0.3">
      <c r="A10" s="150" t="s">
        <v>53</v>
      </c>
      <c r="B10" s="151"/>
      <c r="C10" s="151"/>
      <c r="D10" s="152"/>
      <c r="E10" s="21"/>
      <c r="F10" s="44">
        <v>14140</v>
      </c>
      <c r="G10" s="19">
        <f>(17.9+19.9+21.4+21.6)/4</f>
        <v>20.2</v>
      </c>
      <c r="H10" s="18">
        <v>14140</v>
      </c>
      <c r="I10" s="105">
        <f>(1.3+1.3+1.4)/4</f>
        <v>1</v>
      </c>
      <c r="K10" s="21"/>
      <c r="L10" s="21"/>
      <c r="M10" s="21"/>
      <c r="Q10" s="13"/>
    </row>
    <row r="11" spans="1:17" x14ac:dyDescent="0.25">
      <c r="A11" s="28" t="s">
        <v>19</v>
      </c>
      <c r="B11" s="8" t="s">
        <v>0</v>
      </c>
      <c r="C11" s="29">
        <v>0.9</v>
      </c>
      <c r="D11" s="30"/>
      <c r="F11" s="44">
        <v>16580</v>
      </c>
      <c r="G11" s="19">
        <f>(12.5+14.1+15.8+15.9)/4</f>
        <v>14.575000000000001</v>
      </c>
      <c r="H11" s="18">
        <v>16580</v>
      </c>
      <c r="I11" s="105">
        <f>(0.7+0.7+0.7)/3</f>
        <v>0.69999999999999984</v>
      </c>
      <c r="K11" s="21"/>
      <c r="L11" s="21"/>
      <c r="M11" s="21"/>
    </row>
    <row r="12" spans="1:17" x14ac:dyDescent="0.25">
      <c r="A12" s="31" t="s">
        <v>35</v>
      </c>
      <c r="B12" s="32" t="s">
        <v>36</v>
      </c>
      <c r="C12" s="33">
        <v>300</v>
      </c>
      <c r="D12" s="34" t="s">
        <v>37</v>
      </c>
      <c r="F12" s="18">
        <v>18390</v>
      </c>
      <c r="G12" s="19">
        <f>(5.8+9.7+10.6+10.7)/4</f>
        <v>9.1999999999999993</v>
      </c>
      <c r="H12" s="18">
        <v>18390</v>
      </c>
      <c r="I12" s="19">
        <f>(0.5+0.5+0.5+0.5)/4</f>
        <v>0.5</v>
      </c>
      <c r="K12" s="21"/>
      <c r="L12" s="21"/>
      <c r="M12" s="21"/>
    </row>
    <row r="13" spans="1:17" x14ac:dyDescent="0.25">
      <c r="A13" s="24" t="s">
        <v>30</v>
      </c>
      <c r="B13" s="15" t="s">
        <v>2</v>
      </c>
      <c r="C13" s="36">
        <v>11.1</v>
      </c>
      <c r="D13" s="17" t="s">
        <v>31</v>
      </c>
      <c r="F13" s="18">
        <v>20790</v>
      </c>
      <c r="G13" s="19">
        <f>(3.8+4.1+5.6+5.9)/4</f>
        <v>4.8499999999999996</v>
      </c>
      <c r="H13" s="18"/>
      <c r="I13" s="19"/>
      <c r="K13" s="21"/>
      <c r="L13" s="21"/>
      <c r="M13" s="21"/>
    </row>
    <row r="14" spans="1:17" ht="15.75" thickBot="1" x14ac:dyDescent="0.3">
      <c r="A14" s="37" t="s">
        <v>32</v>
      </c>
      <c r="B14" s="38" t="s">
        <v>33</v>
      </c>
      <c r="C14" s="39">
        <f>C12/C13</f>
        <v>27.027027027027028</v>
      </c>
      <c r="D14" s="40" t="s">
        <v>34</v>
      </c>
      <c r="F14" s="18"/>
      <c r="G14" s="19"/>
      <c r="H14" s="18"/>
      <c r="I14" s="35"/>
      <c r="K14" s="21"/>
      <c r="L14" s="21"/>
      <c r="M14" s="21"/>
    </row>
    <row r="15" spans="1:17" ht="15.75" thickBot="1" x14ac:dyDescent="0.3">
      <c r="A15" s="37" t="s">
        <v>70</v>
      </c>
      <c r="B15" s="159" t="s">
        <v>71</v>
      </c>
      <c r="C15" s="160">
        <v>30000</v>
      </c>
      <c r="D15" s="40" t="s">
        <v>7</v>
      </c>
      <c r="F15" s="18"/>
      <c r="G15" s="19"/>
      <c r="H15" s="18"/>
      <c r="I15" s="35"/>
      <c r="K15" s="21"/>
      <c r="L15" s="21"/>
      <c r="M15" s="21"/>
    </row>
    <row r="16" spans="1:17" ht="15.75" thickBot="1" x14ac:dyDescent="0.3">
      <c r="A16" s="21"/>
      <c r="F16" s="18"/>
      <c r="G16" s="19"/>
      <c r="H16" s="18"/>
      <c r="I16" s="35"/>
      <c r="K16" s="21"/>
      <c r="L16" s="21"/>
      <c r="M16" s="21"/>
    </row>
    <row r="17" spans="1:24" ht="15.75" thickBot="1" x14ac:dyDescent="0.3">
      <c r="A17" s="150" t="s">
        <v>3</v>
      </c>
      <c r="B17" s="151"/>
      <c r="C17" s="151"/>
      <c r="D17" s="152"/>
      <c r="F17" s="18"/>
      <c r="G17" s="19"/>
      <c r="H17" s="18"/>
      <c r="I17" s="35"/>
      <c r="K17" s="21"/>
      <c r="L17" s="21"/>
      <c r="M17" s="21"/>
    </row>
    <row r="18" spans="1:24" x14ac:dyDescent="0.25">
      <c r="A18" s="28" t="s">
        <v>8</v>
      </c>
      <c r="B18" s="8" t="s">
        <v>9</v>
      </c>
      <c r="C18" s="9">
        <f>Overview!D18</f>
        <v>1070</v>
      </c>
      <c r="D18" s="10" t="s">
        <v>10</v>
      </c>
      <c r="F18" s="18"/>
      <c r="G18" s="19"/>
      <c r="H18" s="18"/>
      <c r="I18" s="35"/>
      <c r="K18" s="21"/>
      <c r="L18" s="21"/>
      <c r="M18" s="21"/>
    </row>
    <row r="19" spans="1:24" x14ac:dyDescent="0.25">
      <c r="A19" s="20" t="s">
        <v>14</v>
      </c>
      <c r="B19" s="15" t="s">
        <v>15</v>
      </c>
      <c r="C19" s="90">
        <f>Overview!D19</f>
        <v>1070</v>
      </c>
      <c r="D19" s="17" t="s">
        <v>10</v>
      </c>
      <c r="E19" s="41"/>
      <c r="F19" s="18"/>
      <c r="G19" s="19"/>
      <c r="H19" s="18"/>
      <c r="I19" s="35"/>
      <c r="K19" s="21"/>
      <c r="L19" s="21"/>
      <c r="M19" s="21"/>
    </row>
    <row r="20" spans="1:24" x14ac:dyDescent="0.25">
      <c r="A20" s="24" t="s">
        <v>52</v>
      </c>
      <c r="B20" s="15" t="s">
        <v>20</v>
      </c>
      <c r="C20" s="90">
        <f>Overview!D20</f>
        <v>14300</v>
      </c>
      <c r="D20" s="23" t="s">
        <v>7</v>
      </c>
      <c r="F20" s="18"/>
      <c r="G20" s="19"/>
      <c r="H20" s="18"/>
      <c r="I20" s="35"/>
      <c r="K20" s="21"/>
      <c r="L20" s="21"/>
      <c r="M20" s="21"/>
    </row>
    <row r="21" spans="1:24" x14ac:dyDescent="0.25">
      <c r="A21" s="24" t="s">
        <v>58</v>
      </c>
      <c r="B21" s="15" t="s">
        <v>23</v>
      </c>
      <c r="C21" s="90">
        <f>Overview!D21</f>
        <v>14300</v>
      </c>
      <c r="D21" s="23" t="s">
        <v>7</v>
      </c>
      <c r="F21" s="18"/>
      <c r="G21" s="19"/>
      <c r="H21" s="18"/>
      <c r="I21" s="35"/>
    </row>
    <row r="22" spans="1:24" x14ac:dyDescent="0.25">
      <c r="A22" s="55" t="s">
        <v>57</v>
      </c>
      <c r="B22" s="15" t="s">
        <v>25</v>
      </c>
      <c r="C22" s="25">
        <f>Overview!D22</f>
        <v>0</v>
      </c>
      <c r="D22" s="17" t="s">
        <v>7</v>
      </c>
      <c r="F22" s="18"/>
      <c r="G22" s="19"/>
      <c r="H22" s="18"/>
      <c r="I22" s="35"/>
      <c r="J22" s="21"/>
      <c r="K22" s="42"/>
      <c r="L22" s="42"/>
      <c r="M22" s="42"/>
      <c r="T22" s="43"/>
      <c r="W22" s="43"/>
    </row>
    <row r="23" spans="1:24" ht="15.75" thickBot="1" x14ac:dyDescent="0.3">
      <c r="A23" s="87" t="s">
        <v>28</v>
      </c>
      <c r="B23" s="38" t="s">
        <v>29</v>
      </c>
      <c r="C23" s="88">
        <f>Overview!D23</f>
        <v>3</v>
      </c>
      <c r="D23" s="89" t="s">
        <v>7</v>
      </c>
      <c r="F23" s="45"/>
      <c r="G23" s="46"/>
      <c r="H23" s="45"/>
      <c r="I23" s="47"/>
      <c r="J23" s="21"/>
    </row>
    <row r="24" spans="1:24" ht="15.75" thickBot="1" x14ac:dyDescent="0.3">
      <c r="A24" s="85"/>
      <c r="B24" s="61"/>
      <c r="C24" s="86"/>
      <c r="D24" s="101"/>
      <c r="F24" s="113"/>
      <c r="G24" s="113"/>
      <c r="H24" s="113"/>
      <c r="I24" s="113"/>
      <c r="J24" s="113"/>
      <c r="S24" s="49"/>
      <c r="T24" s="43"/>
      <c r="W24" s="43"/>
    </row>
    <row r="25" spans="1:24" ht="15.75" thickBot="1" x14ac:dyDescent="0.3">
      <c r="A25" s="151" t="s">
        <v>56</v>
      </c>
      <c r="B25" s="151"/>
      <c r="C25" s="151"/>
      <c r="D25" s="152"/>
      <c r="F25" s="156" t="s">
        <v>43</v>
      </c>
      <c r="G25" s="157"/>
      <c r="H25" s="157"/>
      <c r="I25" s="158"/>
      <c r="J25" s="113"/>
      <c r="V25" s="43"/>
      <c r="W25" s="43"/>
      <c r="X25" s="43"/>
    </row>
    <row r="26" spans="1:24" x14ac:dyDescent="0.25">
      <c r="A26" s="91" t="s">
        <v>64</v>
      </c>
      <c r="B26" s="92" t="s">
        <v>54</v>
      </c>
      <c r="C26" s="51">
        <f>$C$11*$C$20/C$14/$C$18</f>
        <v>0.44503738317757008</v>
      </c>
      <c r="D26" s="30"/>
      <c r="F26" s="138" t="s">
        <v>69</v>
      </c>
      <c r="G26" s="139"/>
      <c r="H26" s="139"/>
      <c r="I26" s="140"/>
      <c r="J26" s="113"/>
      <c r="V26" s="43"/>
      <c r="W26" s="43"/>
      <c r="X26" s="43"/>
    </row>
    <row r="27" spans="1:24" x14ac:dyDescent="0.25">
      <c r="A27" s="14" t="s">
        <v>48</v>
      </c>
      <c r="B27" s="15" t="s">
        <v>47</v>
      </c>
      <c r="C27" s="53">
        <f>C30/C13</f>
        <v>27.027027027027028</v>
      </c>
      <c r="D27" s="54" t="s">
        <v>34</v>
      </c>
      <c r="F27" s="141"/>
      <c r="G27" s="142"/>
      <c r="H27" s="142"/>
      <c r="I27" s="143"/>
      <c r="J27" s="113"/>
      <c r="V27" s="43"/>
      <c r="W27" s="43"/>
      <c r="X27" s="43"/>
    </row>
    <row r="28" spans="1:24" x14ac:dyDescent="0.25">
      <c r="A28" s="93" t="s">
        <v>63</v>
      </c>
      <c r="B28" s="84" t="s">
        <v>59</v>
      </c>
      <c r="C28" s="53">
        <f>C11*C21/C27/C19</f>
        <v>0.44503738317757008</v>
      </c>
      <c r="D28" s="54"/>
      <c r="F28" s="141"/>
      <c r="G28" s="142"/>
      <c r="H28" s="142"/>
      <c r="I28" s="143"/>
      <c r="J28" s="50"/>
      <c r="V28" s="43"/>
      <c r="W28" s="43"/>
      <c r="X28" s="43"/>
    </row>
    <row r="29" spans="1:24" x14ac:dyDescent="0.25">
      <c r="A29" s="55" t="s">
        <v>49</v>
      </c>
      <c r="B29" s="15" t="s">
        <v>60</v>
      </c>
      <c r="C29" s="56">
        <f>($C$5-$C$8)*(C30/C12)^(1/$C$11)+$C$8</f>
        <v>28</v>
      </c>
      <c r="D29" s="17" t="s">
        <v>13</v>
      </c>
      <c r="E29" s="21"/>
      <c r="F29" s="141"/>
      <c r="G29" s="142"/>
      <c r="H29" s="142"/>
      <c r="I29" s="143"/>
      <c r="J29" s="52"/>
      <c r="P29" s="21"/>
      <c r="Q29" s="21"/>
      <c r="V29" s="43"/>
      <c r="W29" s="43"/>
      <c r="X29" s="43"/>
    </row>
    <row r="30" spans="1:24" ht="15.75" thickBot="1" x14ac:dyDescent="0.3">
      <c r="A30" s="57" t="s">
        <v>50</v>
      </c>
      <c r="B30" s="58" t="s">
        <v>44</v>
      </c>
      <c r="C30" s="59">
        <f>C12*(1-C26*(EXP(C22/C20)-1))</f>
        <v>300</v>
      </c>
      <c r="D30" s="26"/>
      <c r="E30" s="21"/>
      <c r="F30" s="144"/>
      <c r="G30" s="145"/>
      <c r="H30" s="145"/>
      <c r="I30" s="146"/>
      <c r="J30" s="52"/>
      <c r="P30" s="21"/>
      <c r="Q30" s="21"/>
      <c r="V30" s="43"/>
      <c r="W30" s="43"/>
      <c r="X30" s="43"/>
    </row>
    <row r="31" spans="1:24" ht="15.75" thickBot="1" x14ac:dyDescent="0.3">
      <c r="A31" s="60"/>
      <c r="B31" s="61"/>
      <c r="C31" s="62"/>
      <c r="D31" s="63"/>
      <c r="E31" s="21"/>
      <c r="F31" s="21"/>
      <c r="H31" s="21"/>
      <c r="I31" s="21"/>
    </row>
    <row r="32" spans="1:24" ht="15.75" thickBot="1" x14ac:dyDescent="0.3">
      <c r="A32" s="96" t="s">
        <v>38</v>
      </c>
      <c r="B32" s="97" t="s">
        <v>46</v>
      </c>
      <c r="C32" s="98"/>
      <c r="D32" s="99"/>
      <c r="E32" s="100" t="s">
        <v>39</v>
      </c>
      <c r="F32" s="100" t="s">
        <v>45</v>
      </c>
      <c r="G32" s="100" t="s">
        <v>40</v>
      </c>
      <c r="H32" s="100" t="s">
        <v>41</v>
      </c>
      <c r="I32" s="100" t="s">
        <v>42</v>
      </c>
      <c r="R32" s="43"/>
      <c r="S32" s="64"/>
      <c r="T32" s="64"/>
      <c r="U32" s="64"/>
      <c r="V32" s="64"/>
      <c r="W32" s="64"/>
      <c r="X32" s="64"/>
    </row>
    <row r="33" spans="1:37" x14ac:dyDescent="0.25">
      <c r="A33" s="107">
        <f>A34-$C$4-9000</f>
        <v>-18000</v>
      </c>
      <c r="B33" s="66">
        <f>A33+1500</f>
        <v>-16500</v>
      </c>
      <c r="C33" s="67"/>
      <c r="D33" s="68"/>
      <c r="E33" s="69">
        <f t="shared" ref="E33:E96" si="0">IF(A33&lt;=$C$22,$C$18*EXP(-A33/$C$20),$C$19*EXP(-(A33-$C$22)/$C$21))</f>
        <v>3767.4557535966119</v>
      </c>
      <c r="F33" s="70">
        <f>IF(A33&lt;=$C$22,IF($C$12*(1-$C$26*(EXP(A33/$C$20)-1))&gt;0,$C$12*(1-$C$26*(EXP(A33/$C$20)-1)),0),IF($C$30*(1-$C$28*(EXP((A33-$C$22)/$C$21)-1))&gt;0,$C$30*(1-$C$28*(EXP((A33-$C$22)/$C$21)-1)),0))</f>
        <v>395.59252145206108</v>
      </c>
      <c r="G33" s="71">
        <f>IF(A33&lt;=$C$22,($C$5-$C$8)*(F33/$C$12)^(1/$C$11)+$C$8, ($C$29-$C$8)*(F33/$C$30)^(1/$C$11)+$C$8)</f>
        <v>38.074330344942709</v>
      </c>
      <c r="H33" s="161">
        <f>IF($C$15=0,B33-$C$6/2, B33-$C$6*EXP(-B33/$C$15)/2)</f>
        <v>-29499.397634005465</v>
      </c>
      <c r="I33" s="161">
        <f>IF($C$15=0,B33+$C$6/2, B33+$C$6*EXP(-B33/$C$15)/2)</f>
        <v>-3500.6023659945349</v>
      </c>
      <c r="R33" s="43"/>
      <c r="S33" s="64"/>
      <c r="T33" s="64"/>
      <c r="U33" s="64"/>
      <c r="V33" s="64"/>
      <c r="W33" s="64"/>
      <c r="X33" s="64"/>
    </row>
    <row r="34" spans="1:37" x14ac:dyDescent="0.25">
      <c r="A34" s="108">
        <f t="shared" ref="A34:A41" si="1">A35-$C$4</f>
        <v>-8000</v>
      </c>
      <c r="B34" s="65">
        <f t="shared" ref="B34:B97" si="2">A34+1500</f>
        <v>-6500</v>
      </c>
      <c r="D34" s="72"/>
      <c r="E34" s="73">
        <f t="shared" si="0"/>
        <v>1872.1719133892698</v>
      </c>
      <c r="F34" s="74">
        <f>IF(A34&lt;=$C$22,IF($C$12*(1-$C$26*(EXP(A34/$C$20)-1))&gt;0,$C$12*(1-$C$26*(EXP(A34/$C$20)-1)),0),IF($C$30*(1-$C$28*(EXP((A34-$C$22)/$C$21)-1))&gt;0,$C$30*(1-$C$28*(EXP((A34-$C$22)/$C$21)-1)),0))</f>
        <v>357.20572239763277</v>
      </c>
      <c r="G34" s="75">
        <f>IF(A34&lt;=$C$22,($C$5-$C$8)*(F34/$C$12)^(1/$C$11)+$C$8, ($C$29-$C$8)*(F34/$C$30)^(1/$C$11)+$C$8)</f>
        <v>33.99202911961406</v>
      </c>
      <c r="H34" s="162">
        <f t="shared" ref="H34:H97" si="3">IF($C$15=0,B34-$C$6/2, B34-$C$6*EXP(-B34/$C$15)/2)</f>
        <v>-15814.47542336375</v>
      </c>
      <c r="I34" s="162">
        <f t="shared" ref="I34:I97" si="4">IF($C$15=0,B34+$C$6/2, B34+$C$6*EXP(-B34/$C$15)/2)</f>
        <v>2814.4754233637505</v>
      </c>
      <c r="R34" s="43"/>
      <c r="S34" s="64"/>
      <c r="T34" s="64"/>
      <c r="U34" s="64"/>
      <c r="V34" s="64"/>
      <c r="W34" s="64"/>
      <c r="X34" s="64"/>
    </row>
    <row r="35" spans="1:37" x14ac:dyDescent="0.25">
      <c r="A35" s="108">
        <f t="shared" si="1"/>
        <v>-7000</v>
      </c>
      <c r="B35" s="65">
        <f t="shared" si="2"/>
        <v>-5500</v>
      </c>
      <c r="D35" s="72"/>
      <c r="E35" s="73">
        <f t="shared" si="0"/>
        <v>1745.7235961504243</v>
      </c>
      <c r="F35" s="74">
        <f>IF(A35&lt;=$C$22,IF($C$12*(1-$C$26*(EXP(A35/$C$20)-1))&gt;0,$C$12*(1-$C$26*(EXP(A35/$C$20)-1)),0),IF($C$30*(1-$C$28*(EXP((A35-$C$22)/$C$21)-1))&gt;0,$C$30*(1-$C$28*(EXP((A35-$C$22)/$C$21)-1)),0))</f>
        <v>351.6786726682148</v>
      </c>
      <c r="G35" s="75">
        <f>IF(A35&lt;=$C$22,($C$5-$C$8)*(F35/$C$12)^(1/$C$11)+$C$8, ($C$29-$C$8)*(F35/$C$30)^(1/$C$11)+$C$8)</f>
        <v>33.408134687050392</v>
      </c>
      <c r="H35" s="162">
        <f t="shared" si="3"/>
        <v>-14509.110597021368</v>
      </c>
      <c r="I35" s="162">
        <f t="shared" si="4"/>
        <v>3509.1105970213684</v>
      </c>
      <c r="R35" s="43"/>
      <c r="S35" s="64"/>
      <c r="T35" s="64"/>
      <c r="U35" s="64"/>
      <c r="V35" s="64"/>
      <c r="W35" s="64"/>
      <c r="X35" s="64"/>
    </row>
    <row r="36" spans="1:37" x14ac:dyDescent="0.25">
      <c r="A36" s="108">
        <f t="shared" si="1"/>
        <v>-6000</v>
      </c>
      <c r="B36" s="65">
        <f t="shared" si="2"/>
        <v>-4500</v>
      </c>
      <c r="D36" s="72"/>
      <c r="E36" s="73">
        <f t="shared" si="0"/>
        <v>1627.8157216017967</v>
      </c>
      <c r="F36" s="74">
        <f>IF(A36&lt;=$C$22,IF($C$12*(1-$C$26*(EXP(A36/$C$20)-1))&gt;0,$C$12*(1-$C$26*(EXP(A36/$C$20)-1)),0),IF($C$30*(1-$C$28*(EXP((A36-$C$22)/$C$21)-1))&gt;0,$C$30*(1-$C$28*(EXP((A36-$C$22)/$C$21)-1)),0))</f>
        <v>345.7512811326132</v>
      </c>
      <c r="G36" s="75">
        <f>IF(A36&lt;=$C$22,($C$5-$C$8)*(F36/$C$12)^(1/$C$11)+$C$8, ($C$29-$C$8)*(F36/$C$30)^(1/$C$11)+$C$8)</f>
        <v>32.783079440583414</v>
      </c>
      <c r="H36" s="162">
        <f t="shared" si="3"/>
        <v>-13213.756820462124</v>
      </c>
      <c r="I36" s="162">
        <f t="shared" si="4"/>
        <v>4213.7568204621239</v>
      </c>
      <c r="R36" s="43"/>
      <c r="S36" s="64"/>
      <c r="T36" s="64"/>
      <c r="U36" s="64"/>
      <c r="V36" s="64"/>
      <c r="W36" s="64"/>
      <c r="X36" s="64"/>
    </row>
    <row r="37" spans="1:37" x14ac:dyDescent="0.25">
      <c r="A37" s="108">
        <f t="shared" si="1"/>
        <v>-5000</v>
      </c>
      <c r="B37" s="65">
        <f t="shared" si="2"/>
        <v>-3500</v>
      </c>
      <c r="D37" s="72"/>
      <c r="E37" s="73">
        <f t="shared" si="0"/>
        <v>1517.8714599133211</v>
      </c>
      <c r="F37" s="74">
        <f>IF(A37&lt;=$C$22,IF($C$12*(1-$C$26*(EXP(A37/$C$20)-1))&gt;0,$C$12*(1-$C$26*(EXP(A37/$C$20)-1)),0),IF($C$30*(1-$C$28*(EXP((A37-$C$22)/$C$21)-1))&gt;0,$C$30*(1-$C$28*(EXP((A37-$C$22)/$C$21)-1)),0))</f>
        <v>339.39454975939623</v>
      </c>
      <c r="G37" s="75">
        <f>IF(A37&lt;=$C$22,($C$5-$C$8)*(F37/$C$12)^(1/$C$11)+$C$8, ($C$29-$C$8)*(F37/$C$30)^(1/$C$11)+$C$8)</f>
        <v>32.11407185694123</v>
      </c>
      <c r="H37" s="162">
        <f t="shared" si="3"/>
        <v>-11928.085892435858</v>
      </c>
      <c r="I37" s="162">
        <f t="shared" si="4"/>
        <v>4928.0858924358581</v>
      </c>
      <c r="R37" s="43"/>
      <c r="S37" s="64"/>
      <c r="T37" s="64"/>
      <c r="U37" s="64"/>
      <c r="V37" s="64"/>
      <c r="W37" s="64"/>
      <c r="X37" s="64"/>
    </row>
    <row r="38" spans="1:37" x14ac:dyDescent="0.25">
      <c r="A38" s="108">
        <f t="shared" si="1"/>
        <v>-4000</v>
      </c>
      <c r="B38" s="65">
        <f t="shared" si="2"/>
        <v>-2500</v>
      </c>
      <c r="D38" s="72"/>
      <c r="E38" s="73">
        <f t="shared" si="0"/>
        <v>1415.3529409043238</v>
      </c>
      <c r="F38" s="74">
        <f>IF(A38&lt;=$C$22,IF($C$12*(1-$C$26*(EXP(A38/$C$20)-1))&gt;0,$C$12*(1-$C$26*(EXP(A38/$C$20)-1)),0),IF($C$30*(1-$C$28*(EXP((A38-$C$22)/$C$21)-1))&gt;0,$C$30*(1-$C$28*(EXP((A38-$C$22)/$C$21)-1)),0))</f>
        <v>332.57738009740592</v>
      </c>
      <c r="G38" s="75">
        <f>IF(A38&lt;=$C$22,($C$5-$C$8)*(F38/$C$12)^(1/$C$11)+$C$8, ($C$29-$C$8)*(F38/$C$30)^(1/$C$11)+$C$8)</f>
        <v>31.398152199137101</v>
      </c>
      <c r="H38" s="162">
        <f t="shared" si="3"/>
        <v>-10651.780371409217</v>
      </c>
      <c r="I38" s="162">
        <f t="shared" si="4"/>
        <v>5651.780371409217</v>
      </c>
      <c r="R38" s="43"/>
      <c r="S38" s="64"/>
      <c r="T38" s="64"/>
      <c r="U38" s="64"/>
      <c r="V38" s="64"/>
      <c r="W38" s="64"/>
      <c r="X38" s="64"/>
    </row>
    <row r="39" spans="1:37" x14ac:dyDescent="0.25">
      <c r="A39" s="108">
        <f t="shared" si="1"/>
        <v>-3000</v>
      </c>
      <c r="B39" s="65">
        <f t="shared" si="2"/>
        <v>-1500</v>
      </c>
      <c r="D39" s="72"/>
      <c r="E39" s="73">
        <f t="shared" si="0"/>
        <v>1319.7586226707983</v>
      </c>
      <c r="F39" s="74">
        <f>IF(A39&lt;=$C$22,IF($C$12*(1-$C$26*(EXP(A39/$C$20)-1))&gt;0,$C$12*(1-$C$26*(EXP(A39/$C$20)-1)),0),IF($C$30*(1-$C$28*(EXP((A39-$C$22)/$C$21)-1))&gt;0,$C$30*(1-$C$28*(EXP((A39-$C$22)/$C$21)-1)),0))</f>
        <v>325.26642113567124</v>
      </c>
      <c r="G39" s="75">
        <f>IF(A39&lt;=$C$22,($C$5-$C$8)*(F39/$C$12)^(1/$C$11)+$C$8, ($C$29-$C$8)*(F39/$C$30)^(1/$C$11)+$C$8)</f>
        <v>30.632187046258466</v>
      </c>
      <c r="H39" s="162">
        <f t="shared" si="3"/>
        <v>-9384.5332228201805</v>
      </c>
      <c r="I39" s="162">
        <f t="shared" si="4"/>
        <v>6384.5332228201805</v>
      </c>
      <c r="R39" s="43"/>
      <c r="S39" s="64"/>
      <c r="T39" s="64"/>
      <c r="U39" s="64"/>
      <c r="V39" s="64"/>
      <c r="W39" s="64"/>
      <c r="X39" s="64"/>
    </row>
    <row r="40" spans="1:37" x14ac:dyDescent="0.25">
      <c r="A40" s="108">
        <f t="shared" si="1"/>
        <v>-2000</v>
      </c>
      <c r="B40" s="65">
        <f t="shared" si="2"/>
        <v>-500</v>
      </c>
      <c r="D40" s="72"/>
      <c r="E40" s="73">
        <f t="shared" si="0"/>
        <v>1230.620837938163</v>
      </c>
      <c r="F40" s="74">
        <f>IF(A40&lt;=$C$22,IF($C$12*(1-$C$26*(EXP(A40/$C$20)-1))&gt;0,$C$12*(1-$C$26*(EXP(A40/$C$20)-1)),0),IF($C$30*(1-$C$28*(EXP((A40-$C$22)/$C$21)-1))&gt;0,$C$30*(1-$C$28*(EXP((A40-$C$22)/$C$21)-1)),0))</f>
        <v>317.42590614333</v>
      </c>
      <c r="G40" s="75">
        <f>IF(A40&lt;=$C$22,($C$5-$C$8)*(F40/$C$12)^(1/$C$11)+$C$8, ($C$29-$C$8)*(F40/$C$30)^(1/$C$11)+$C$8)</f>
        <v>29.812864951575907</v>
      </c>
      <c r="H40" s="162">
        <f t="shared" si="3"/>
        <v>-8126.0474778969565</v>
      </c>
      <c r="I40" s="162">
        <f t="shared" si="4"/>
        <v>7126.0474778969565</v>
      </c>
      <c r="R40" s="43"/>
      <c r="S40" s="64"/>
      <c r="T40" s="64"/>
      <c r="U40" s="64"/>
      <c r="V40" s="64"/>
      <c r="W40" s="64"/>
      <c r="X40" s="64"/>
    </row>
    <row r="41" spans="1:37" x14ac:dyDescent="0.25">
      <c r="A41" s="108">
        <f t="shared" si="1"/>
        <v>-1000</v>
      </c>
      <c r="B41" s="65">
        <f t="shared" si="2"/>
        <v>500</v>
      </c>
      <c r="D41" s="72"/>
      <c r="E41" s="73">
        <f t="shared" si="0"/>
        <v>1147.503506135748</v>
      </c>
      <c r="F41" s="74">
        <f>IF(A41&lt;=$C$22,IF($C$12*(1-$C$26*(EXP(A41/$C$20)-1))&gt;0,$C$12*(1-$C$26*(EXP(A41/$C$20)-1)),0),IF($C$30*(1-$C$28*(EXP((A41-$C$22)/$C$21)-1))&gt;0,$C$30*(1-$C$28*(EXP((A41-$C$22)/$C$21)-1)),0))</f>
        <v>309.01747769134738</v>
      </c>
      <c r="G41" s="75">
        <f>IF(A41&lt;=$C$22,($C$5-$C$8)*(F41/$C$12)^(1/$C$11)+$C$8, ($C$29-$C$8)*(F41/$C$30)^(1/$C$11)+$C$8)</f>
        <v>28.93669372392641</v>
      </c>
      <c r="H41" s="162">
        <f t="shared" si="3"/>
        <v>-6876.0359036621312</v>
      </c>
      <c r="I41" s="162">
        <f t="shared" si="4"/>
        <v>7876.0359036621312</v>
      </c>
      <c r="R41" s="43"/>
      <c r="S41" s="64"/>
      <c r="T41" s="64"/>
      <c r="U41" s="64"/>
      <c r="V41" s="64"/>
      <c r="W41" s="64"/>
      <c r="X41" s="64"/>
    </row>
    <row r="42" spans="1:37" x14ac:dyDescent="0.25">
      <c r="A42" s="108">
        <v>0</v>
      </c>
      <c r="B42" s="65">
        <f t="shared" si="2"/>
        <v>1500</v>
      </c>
      <c r="D42" s="72"/>
      <c r="E42" s="73">
        <f t="shared" si="0"/>
        <v>1070</v>
      </c>
      <c r="F42" s="74">
        <f>IF(A42&lt;=$C$22,IF($C$12*(1-$C$26*(EXP(A42/$C$20)-1))&gt;0,$C$12*(1-$C$26*(EXP(A42/$C$20)-1)),0),IF($C$30*(1-$C$28*(EXP((A42-$C$22)/$C$21)-1))&gt;0,$C$30*(1-$C$28*(EXP((A42-$C$22)/$C$21)-1)),0))</f>
        <v>300</v>
      </c>
      <c r="G42" s="75">
        <f>IF(A42&lt;=$C$22,($C$5-$C$8)*(F42/$C$12)^(1/$C$11)+$C$8, ($C$29-$C$8)*(F42/$C$30)^(1/$C$11)+$C$8)</f>
        <v>28</v>
      </c>
      <c r="H42" s="162">
        <f t="shared" si="3"/>
        <v>-5634.2206837553549</v>
      </c>
      <c r="I42" s="162">
        <f t="shared" si="4"/>
        <v>8634.2206837553549</v>
      </c>
      <c r="T42" s="76"/>
      <c r="U42" s="76"/>
      <c r="V42" s="76"/>
      <c r="W42" s="76"/>
      <c r="X42" s="76"/>
      <c r="AA42" s="76"/>
      <c r="AB42" s="76"/>
      <c r="AC42" s="76"/>
      <c r="AD42" s="76"/>
      <c r="AE42" s="76"/>
      <c r="AF42" s="76"/>
      <c r="AG42" s="76"/>
      <c r="AH42" s="76"/>
      <c r="AI42" s="76"/>
      <c r="AJ42" s="76"/>
      <c r="AK42" s="76"/>
    </row>
    <row r="43" spans="1:37" x14ac:dyDescent="0.25">
      <c r="A43" s="108">
        <f>A42+$C$4</f>
        <v>1000</v>
      </c>
      <c r="B43" s="65">
        <f t="shared" si="2"/>
        <v>2500</v>
      </c>
      <c r="D43" s="72"/>
      <c r="E43" s="73">
        <f t="shared" si="0"/>
        <v>997.73115626939102</v>
      </c>
      <c r="F43" s="74">
        <f>IF(A43&lt;=$C$22,IF($C$12*(1-$C$26*(EXP(A43/$C$20)-1))&gt;0,$C$12*(1-$C$26*(EXP(A43/$C$20)-1)),0),IF($C$30*(1-$C$28*(EXP((A43-$C$22)/$C$21)-1))&gt;0,$C$30*(1-$C$28*(EXP((A43-$C$22)/$C$21)-1)),0))</f>
        <v>290.32935769409158</v>
      </c>
      <c r="G43" s="75">
        <f>IF(A43&lt;=$C$22,($C$5-$C$8)*(F43/$C$12)^(1/$C$11)+$C$8, ($C$29-$C$8)*(F43/$C$30)^(1/$C$11)+$C$8)</f>
        <v>26.998932015929192</v>
      </c>
      <c r="H43" s="162">
        <f t="shared" si="3"/>
        <v>-4400.3331097199243</v>
      </c>
      <c r="I43" s="162">
        <f t="shared" si="4"/>
        <v>9400.3331097199243</v>
      </c>
      <c r="T43" s="76"/>
      <c r="U43" s="76"/>
      <c r="V43" s="76"/>
      <c r="W43" s="76"/>
      <c r="X43" s="76"/>
      <c r="AA43" s="76"/>
      <c r="AB43" s="76"/>
      <c r="AC43" s="76"/>
      <c r="AD43" s="76"/>
      <c r="AE43" s="76"/>
      <c r="AF43" s="76"/>
      <c r="AG43" s="76"/>
      <c r="AH43" s="76"/>
      <c r="AI43" s="76"/>
      <c r="AJ43" s="76"/>
      <c r="AK43" s="76"/>
    </row>
    <row r="44" spans="1:37" x14ac:dyDescent="0.25">
      <c r="A44" s="108">
        <f>A43+$C$4</f>
        <v>2000</v>
      </c>
      <c r="B44" s="65">
        <f t="shared" si="2"/>
        <v>3500</v>
      </c>
      <c r="D44" s="72"/>
      <c r="E44" s="73">
        <f t="shared" si="0"/>
        <v>930.34342073893083</v>
      </c>
      <c r="F44" s="74">
        <f>IF(A44&lt;=$C$22,IF($C$12*(1-$C$26*(EXP(A44/$C$20)-1))&gt;0,$C$12*(1-$C$26*(EXP(A44/$C$20)-1)),0),IF($C$30*(1-$C$28*(EXP((A44-$C$22)/$C$21)-1))&gt;0,$C$30*(1-$C$28*(EXP((A44-$C$22)/$C$21)-1)),0))</f>
        <v>279.95823998136768</v>
      </c>
      <c r="G44" s="75">
        <f>IF(A44&lt;=$C$22,($C$5-$C$8)*(F44/$C$12)^(1/$C$11)+$C$8, ($C$29-$C$8)*(F44/$C$30)^(1/$C$11)+$C$8)</f>
        <v>25.9294668278839</v>
      </c>
      <c r="H44" s="162">
        <f t="shared" si="3"/>
        <v>-3174.1132824101787</v>
      </c>
      <c r="I44" s="162">
        <f t="shared" si="4"/>
        <v>10174.113282410179</v>
      </c>
      <c r="J44" s="44"/>
      <c r="K44" s="21"/>
      <c r="L44" s="21"/>
      <c r="M44" s="21"/>
      <c r="N44" s="21"/>
      <c r="O44" s="21"/>
      <c r="T44" s="76"/>
      <c r="U44" s="76"/>
      <c r="V44" s="76"/>
      <c r="W44" s="76"/>
      <c r="X44" s="76"/>
      <c r="AA44" s="76"/>
      <c r="AB44" s="76"/>
      <c r="AC44" s="76"/>
      <c r="AD44" s="76"/>
      <c r="AE44" s="76"/>
      <c r="AF44" s="76"/>
      <c r="AG44" s="76"/>
      <c r="AH44" s="76"/>
      <c r="AI44" s="76"/>
      <c r="AJ44" s="76"/>
      <c r="AK44" s="76"/>
    </row>
    <row r="45" spans="1:37" x14ac:dyDescent="0.25">
      <c r="A45" s="108">
        <f t="shared" ref="A45:A108" si="5">A44+$C$4</f>
        <v>3000</v>
      </c>
      <c r="B45" s="65">
        <f t="shared" si="2"/>
        <v>4500</v>
      </c>
      <c r="D45" s="72"/>
      <c r="E45" s="73">
        <f t="shared" si="0"/>
        <v>867.50711859950843</v>
      </c>
      <c r="F45" s="74">
        <f>IF(A45&lt;=$C$22,IF($C$12*(1-$C$26*(EXP(A45/$C$20)-1))&gt;0,$C$12*(1-$C$26*(EXP(A45/$C$20)-1)),0),IF($C$30*(1-$C$28*(EXP((A45-$C$22)/$C$21)-1))&gt;0,$C$30*(1-$C$28*(EXP((A45-$C$22)/$C$21)-1)),0))</f>
        <v>268.83590919828612</v>
      </c>
      <c r="G45" s="75">
        <f>IF(A45&lt;=$C$22,($C$5-$C$8)*(F45/$C$12)^(1/$C$11)+$C$8, ($C$29-$C$8)*(F45/$C$30)^(1/$C$11)+$C$8)</f>
        <v>24.787423724411674</v>
      </c>
      <c r="H45" s="162">
        <f t="shared" si="3"/>
        <v>-1955.3098231879339</v>
      </c>
      <c r="I45" s="162">
        <f t="shared" si="4"/>
        <v>10955.309823187934</v>
      </c>
      <c r="J45" s="44"/>
      <c r="K45" s="21"/>
      <c r="L45" s="21"/>
      <c r="M45" s="21"/>
      <c r="N45" s="21"/>
      <c r="O45" s="21"/>
      <c r="T45" s="76"/>
      <c r="U45" s="76"/>
      <c r="V45" s="76"/>
      <c r="W45" s="76"/>
      <c r="X45" s="76"/>
      <c r="AA45" s="76"/>
      <c r="AB45" s="76"/>
      <c r="AC45" s="76"/>
      <c r="AD45" s="76"/>
      <c r="AE45" s="76"/>
      <c r="AF45" s="76"/>
      <c r="AG45" s="76"/>
      <c r="AH45" s="76"/>
      <c r="AI45" s="76"/>
      <c r="AJ45" s="76"/>
      <c r="AK45" s="76"/>
    </row>
    <row r="46" spans="1:37" x14ac:dyDescent="0.25">
      <c r="A46" s="108">
        <f t="shared" si="5"/>
        <v>4000</v>
      </c>
      <c r="B46" s="65">
        <f t="shared" si="2"/>
        <v>5500</v>
      </c>
      <c r="D46" s="72"/>
      <c r="E46" s="73">
        <f t="shared" si="0"/>
        <v>808.91484160020116</v>
      </c>
      <c r="F46" s="74">
        <f>IF(A46&lt;=$C$22,IF($C$12*(1-$C$26*(EXP(A46/$C$20)-1))&gt;0,$C$12*(1-$C$26*(EXP(A46/$C$20)-1)),0),IF($C$30*(1-$C$28*(EXP((A46-$C$22)/$C$21)-1))&gt;0,$C$30*(1-$C$28*(EXP((A46-$C$22)/$C$21)-1)),0))</f>
        <v>256.90795259082103</v>
      </c>
      <c r="G46" s="75">
        <f>IF(A46&lt;=$C$22,($C$5-$C$8)*(F46/$C$12)^(1/$C$11)+$C$8, ($C$29-$C$8)*(F46/$C$30)^(1/$C$11)+$C$8)</f>
        <v>23.568486301059817</v>
      </c>
      <c r="H46" s="162">
        <f t="shared" si="3"/>
        <v>-743.6795945870208</v>
      </c>
      <c r="I46" s="162">
        <f t="shared" si="4"/>
        <v>11743.679594587022</v>
      </c>
      <c r="J46" s="44"/>
      <c r="K46" s="21"/>
      <c r="L46" s="21"/>
      <c r="M46" s="21"/>
      <c r="N46" s="21"/>
      <c r="O46" s="21"/>
      <c r="T46" s="76"/>
      <c r="U46" s="76"/>
      <c r="V46" s="76"/>
      <c r="W46" s="76"/>
      <c r="X46" s="76"/>
      <c r="AA46" s="76"/>
      <c r="AB46" s="76"/>
      <c r="AC46" s="76"/>
      <c r="AD46" s="76"/>
      <c r="AE46" s="76"/>
      <c r="AF46" s="76"/>
      <c r="AG46" s="76"/>
      <c r="AH46" s="76"/>
      <c r="AI46" s="76"/>
      <c r="AJ46" s="76"/>
      <c r="AK46" s="76"/>
    </row>
    <row r="47" spans="1:37" x14ac:dyDescent="0.25">
      <c r="A47" s="108">
        <f t="shared" si="5"/>
        <v>5000</v>
      </c>
      <c r="B47" s="65">
        <f t="shared" si="2"/>
        <v>6500</v>
      </c>
      <c r="D47" s="72"/>
      <c r="E47" s="73">
        <f t="shared" si="0"/>
        <v>754.27994414321495</v>
      </c>
      <c r="F47" s="74">
        <f>IF(A47&lt;=$C$22,IF($C$12*(1-$C$26*(EXP(A47/$C$20)-1))&gt;0,$C$12*(1-$C$26*(EXP(A47/$C$20)-1)),0),IF($C$30*(1-$C$28*(EXP((A47-$C$22)/$C$21)-1))&gt;0,$C$30*(1-$C$28*(EXP((A47-$C$22)/$C$21)-1)),0))</f>
        <v>244.11601611596006</v>
      </c>
      <c r="G47" s="75">
        <f>IF(A47&lt;=$C$22,($C$5-$C$8)*(F47/$C$12)^(1/$C$11)+$C$8, ($C$29-$C$8)*(F47/$C$30)^(1/$C$11)+$C$8)</f>
        <v>22.268236769178007</v>
      </c>
      <c r="H47" s="162">
        <f t="shared" si="3"/>
        <v>461.01256986447061</v>
      </c>
      <c r="I47" s="162">
        <f t="shared" si="4"/>
        <v>12538.98743013553</v>
      </c>
      <c r="J47" s="44"/>
      <c r="K47" s="21"/>
      <c r="L47" s="21"/>
      <c r="M47" s="21"/>
      <c r="N47" s="21"/>
      <c r="O47" s="21"/>
      <c r="T47" s="76"/>
      <c r="U47" s="76"/>
      <c r="V47" s="76"/>
      <c r="W47" s="76"/>
      <c r="X47" s="76"/>
      <c r="AA47" s="76"/>
      <c r="AB47" s="76"/>
      <c r="AC47" s="76"/>
      <c r="AD47" s="76"/>
      <c r="AE47" s="76"/>
      <c r="AF47" s="76"/>
      <c r="AG47" s="76"/>
      <c r="AH47" s="76"/>
      <c r="AI47" s="76"/>
      <c r="AJ47" s="76"/>
      <c r="AK47" s="76"/>
    </row>
    <row r="48" spans="1:37" x14ac:dyDescent="0.25">
      <c r="A48" s="108">
        <f t="shared" si="5"/>
        <v>6000</v>
      </c>
      <c r="B48" s="65">
        <f t="shared" si="2"/>
        <v>7500</v>
      </c>
      <c r="D48" s="72"/>
      <c r="E48" s="73">
        <f t="shared" si="0"/>
        <v>703.33514095403882</v>
      </c>
      <c r="F48" s="74">
        <f>IF(A48&lt;=$C$22,IF($C$12*(1-$C$26*(EXP(A48/$C$20)-1))&gt;0,$C$12*(1-$C$26*(EXP(A48/$C$20)-1)),0),IF($C$30*(1-$C$28*(EXP((A48-$C$22)/$C$21)-1))&gt;0,$C$30*(1-$C$28*(EXP((A48-$C$22)/$C$21)-1)),0))</f>
        <v>230.39751896159677</v>
      </c>
      <c r="G48" s="75">
        <f>IF(A48&lt;=$C$22,($C$5-$C$8)*(F48/$C$12)^(1/$C$11)+$C$8, ($C$29-$C$8)*(F48/$C$30)^(1/$C$11)+$C$8)</f>
        <v>20.882207785942391</v>
      </c>
      <c r="H48" s="162">
        <f t="shared" si="3"/>
        <v>1658.9941269644632</v>
      </c>
      <c r="I48" s="162">
        <f t="shared" si="4"/>
        <v>13341.005873035538</v>
      </c>
      <c r="J48" s="44"/>
      <c r="K48" s="21"/>
      <c r="L48" s="21"/>
      <c r="M48" s="21"/>
      <c r="N48" s="21"/>
      <c r="O48" s="21"/>
      <c r="T48" s="76"/>
      <c r="U48" s="76"/>
      <c r="V48" s="76"/>
      <c r="W48" s="76"/>
      <c r="X48" s="76"/>
      <c r="AA48" s="76"/>
      <c r="AB48" s="76"/>
      <c r="AC48" s="76"/>
      <c r="AD48" s="76"/>
      <c r="AE48" s="76"/>
      <c r="AF48" s="76"/>
      <c r="AG48" s="76"/>
      <c r="AH48" s="76"/>
      <c r="AI48" s="76"/>
      <c r="AJ48" s="76"/>
      <c r="AK48" s="76"/>
    </row>
    <row r="49" spans="1:37" x14ac:dyDescent="0.25">
      <c r="A49" s="108">
        <f t="shared" si="5"/>
        <v>7000</v>
      </c>
      <c r="B49" s="65">
        <f t="shared" si="2"/>
        <v>8500</v>
      </c>
      <c r="D49" s="72"/>
      <c r="E49" s="73">
        <f t="shared" si="0"/>
        <v>655.83119946632542</v>
      </c>
      <c r="F49" s="74">
        <f>IF(A49&lt;=$C$22,IF($C$12*(1-$C$26*(EXP(A49/$C$20)-1))&gt;0,$C$12*(1-$C$26*(EXP(A49/$C$20)-1)),0),IF($C$30*(1-$C$28*(EXP((A49-$C$22)/$C$21)-1))&gt;0,$C$30*(1-$C$28*(EXP((A49-$C$22)/$C$21)-1)),0))</f>
        <v>215.68534738819008</v>
      </c>
      <c r="G49" s="75">
        <f>IF(A49&lt;=$C$22,($C$5-$C$8)*(F49/$C$12)^(1/$C$11)+$C$8, ($C$29-$C$8)*(F49/$C$30)^(1/$C$11)+$C$8)</f>
        <v>19.405959854044884</v>
      </c>
      <c r="H49" s="162">
        <f t="shared" si="3"/>
        <v>2850.4850765900737</v>
      </c>
      <c r="I49" s="162">
        <f t="shared" si="4"/>
        <v>14149.514923409926</v>
      </c>
      <c r="J49" s="44"/>
      <c r="K49" s="21"/>
      <c r="L49" s="21"/>
      <c r="M49" s="21"/>
      <c r="N49" s="21"/>
      <c r="O49" s="21"/>
      <c r="T49" s="76"/>
      <c r="U49" s="76"/>
      <c r="V49" s="76"/>
      <c r="W49" s="76"/>
      <c r="X49" s="76"/>
      <c r="AA49" s="76"/>
      <c r="AB49" s="76"/>
      <c r="AC49" s="76"/>
      <c r="AD49" s="76"/>
      <c r="AE49" s="76"/>
      <c r="AF49" s="76"/>
      <c r="AG49" s="76"/>
      <c r="AH49" s="76"/>
      <c r="AI49" s="76"/>
      <c r="AJ49" s="76"/>
      <c r="AK49" s="76"/>
    </row>
    <row r="50" spans="1:37" x14ac:dyDescent="0.25">
      <c r="A50" s="108">
        <f t="shared" si="5"/>
        <v>8000</v>
      </c>
      <c r="B50" s="65">
        <f t="shared" si="2"/>
        <v>9500</v>
      </c>
      <c r="D50" s="72"/>
      <c r="E50" s="73">
        <f t="shared" si="0"/>
        <v>611.53572052437244</v>
      </c>
      <c r="F50" s="74">
        <f>IF(A50&lt;=$C$22,IF($C$12*(1-$C$26*(EXP(A50/$C$20)-1))&gt;0,$C$12*(1-$C$26*(EXP(A50/$C$20)-1)),0),IF($C$30*(1-$C$28*(EXP((A50-$C$22)/$C$21)-1))&gt;0,$C$30*(1-$C$28*(EXP((A50-$C$22)/$C$21)-1)),0))</f>
        <v>199.90752639440049</v>
      </c>
      <c r="G50" s="75">
        <f>IF(A50&lt;=$C$22,($C$5-$C$8)*(F50/$C$12)^(1/$C$11)+$C$8, ($C$29-$C$8)*(F50/$C$30)^(1/$C$11)+$C$8)</f>
        <v>17.835196962240918</v>
      </c>
      <c r="H50" s="162">
        <f t="shared" si="3"/>
        <v>4035.6982061645522</v>
      </c>
      <c r="I50" s="162">
        <f t="shared" si="4"/>
        <v>14964.301793835448</v>
      </c>
      <c r="J50" s="44"/>
      <c r="K50" s="21"/>
      <c r="L50" s="21"/>
      <c r="M50" s="21"/>
      <c r="N50" s="21"/>
      <c r="O50" s="21"/>
      <c r="T50" s="76"/>
      <c r="U50" s="76"/>
      <c r="V50" s="76"/>
      <c r="W50" s="76"/>
      <c r="X50" s="76"/>
      <c r="AA50" s="76"/>
      <c r="AB50" s="76"/>
      <c r="AC50" s="76"/>
      <c r="AD50" s="76"/>
      <c r="AE50" s="76"/>
      <c r="AF50" s="76"/>
      <c r="AG50" s="76"/>
      <c r="AH50" s="76"/>
      <c r="AI50" s="76"/>
      <c r="AJ50" s="76"/>
      <c r="AK50" s="76"/>
    </row>
    <row r="51" spans="1:37" x14ac:dyDescent="0.25">
      <c r="A51" s="108">
        <f t="shared" si="5"/>
        <v>9000</v>
      </c>
      <c r="B51" s="65">
        <f t="shared" si="2"/>
        <v>10500</v>
      </c>
      <c r="D51" s="72"/>
      <c r="E51" s="73">
        <f t="shared" si="0"/>
        <v>570.23200143814699</v>
      </c>
      <c r="F51" s="74">
        <f>IF(A51&lt;=$C$22,IF($C$12*(1-$C$26*(EXP(A51/$C$20)-1))&gt;0,$C$12*(1-$C$26*(EXP(A51/$C$20)-1)),0),IF($C$30*(1-$C$28*(EXP((A51-$C$22)/$C$21)-1))&gt;0,$C$30*(1-$C$28*(EXP((A51-$C$22)/$C$21)-1)),0))</f>
        <v>182.98686760042315</v>
      </c>
      <c r="G51" s="75">
        <f>IF(A51&lt;=$C$22,($C$5-$C$8)*(F51/$C$12)^(1/$C$11)+$C$8, ($C$29-$C$8)*(F51/$C$30)^(1/$C$11)+$C$8)</f>
        <v>16.165941242823642</v>
      </c>
      <c r="H51" s="162">
        <f t="shared" si="3"/>
        <v>5214.8393271096493</v>
      </c>
      <c r="I51" s="162">
        <f t="shared" si="4"/>
        <v>15785.16067289035</v>
      </c>
      <c r="L51" s="21"/>
      <c r="T51" s="76"/>
      <c r="U51" s="76"/>
      <c r="V51" s="76"/>
      <c r="W51" s="76"/>
      <c r="X51" s="76"/>
      <c r="AA51" s="76"/>
      <c r="AB51" s="76"/>
      <c r="AC51" s="76"/>
      <c r="AD51" s="76"/>
      <c r="AE51" s="76"/>
      <c r="AF51" s="76"/>
      <c r="AG51" s="76"/>
      <c r="AH51" s="76"/>
      <c r="AI51" s="76"/>
      <c r="AJ51" s="76"/>
      <c r="AK51" s="76"/>
    </row>
    <row r="52" spans="1:37" x14ac:dyDescent="0.25">
      <c r="A52" s="108">
        <f t="shared" si="5"/>
        <v>10000</v>
      </c>
      <c r="B52" s="65">
        <f t="shared" si="2"/>
        <v>11500</v>
      </c>
      <c r="D52" s="72"/>
      <c r="E52" s="73">
        <f t="shared" si="0"/>
        <v>531.71797582868362</v>
      </c>
      <c r="F52" s="74">
        <f>IF(A52&lt;=$C$22,IF($C$12*(1-$C$26*(EXP(A52/$C$20)-1))&gt;0,$C$12*(1-$C$26*(EXP(A52/$C$20)-1)),0),IF($C$30*(1-$C$28*(EXP((A52-$C$22)/$C$21)-1))&gt;0,$C$30*(1-$C$28*(EXP((A52-$C$22)/$C$21)-1)),0))</f>
        <v>164.84059162638982</v>
      </c>
      <c r="G52" s="75">
        <f>IF(A52&lt;=$C$22,($C$5-$C$8)*(F52/$C$12)^(1/$C$11)+$C$8, ($C$29-$C$8)*(F52/$C$30)^(1/$C$11)+$C$8)</f>
        <v>14.394802444419632</v>
      </c>
      <c r="H52" s="162">
        <f t="shared" si="3"/>
        <v>6388.1075035461408</v>
      </c>
      <c r="I52" s="162">
        <f t="shared" si="4"/>
        <v>16611.89249645386</v>
      </c>
      <c r="L52" s="21"/>
      <c r="T52" s="76"/>
      <c r="U52" s="76"/>
      <c r="V52" s="76"/>
      <c r="W52" s="76"/>
      <c r="X52" s="76"/>
      <c r="AA52" s="76"/>
      <c r="AB52" s="76"/>
      <c r="AC52" s="76"/>
      <c r="AD52" s="76"/>
      <c r="AE52" s="76"/>
      <c r="AF52" s="76"/>
      <c r="AG52" s="76"/>
      <c r="AH52" s="76"/>
      <c r="AI52" s="76"/>
      <c r="AJ52" s="76"/>
      <c r="AK52" s="76"/>
    </row>
    <row r="53" spans="1:37" x14ac:dyDescent="0.25">
      <c r="A53" s="108">
        <f t="shared" si="5"/>
        <v>11000</v>
      </c>
      <c r="B53" s="65">
        <f t="shared" si="2"/>
        <v>12500</v>
      </c>
      <c r="D53" s="72"/>
      <c r="E53" s="73">
        <f t="shared" si="0"/>
        <v>495.80522507735753</v>
      </c>
      <c r="F53" s="74">
        <f>IF(A53&lt;=$C$22,IF($C$12*(1-$C$26*(EXP(A53/$C$20)-1))&gt;0,$C$12*(1-$C$26*(EXP(A53/$C$20)-1)),0),IF($C$30*(1-$C$28*(EXP((A53-$C$22)/$C$21)-1))&gt;0,$C$30*(1-$C$28*(EXP((A53-$C$22)/$C$21)-1)),0))</f>
        <v>145.37992311843632</v>
      </c>
      <c r="G53" s="75">
        <f>IF(A53&lt;=$C$22,($C$5-$C$8)*(F53/$C$12)^(1/$C$11)+$C$8, ($C$29-$C$8)*(F53/$C$30)^(1/$C$11)+$C$8)</f>
        <v>12.519407826647756</v>
      </c>
      <c r="H53" s="162">
        <f t="shared" si="3"/>
        <v>7555.6952734966717</v>
      </c>
      <c r="I53" s="162">
        <f t="shared" si="4"/>
        <v>17444.304726503327</v>
      </c>
      <c r="L53" s="21"/>
      <c r="T53" s="76"/>
      <c r="U53" s="76"/>
      <c r="V53" s="76"/>
      <c r="W53" s="76"/>
      <c r="X53" s="76"/>
      <c r="AA53" s="76"/>
      <c r="AB53" s="76"/>
      <c r="AC53" s="76"/>
      <c r="AD53" s="76"/>
      <c r="AE53" s="76"/>
      <c r="AF53" s="76"/>
      <c r="AG53" s="76"/>
      <c r="AH53" s="76"/>
      <c r="AI53" s="76"/>
      <c r="AJ53" s="76"/>
      <c r="AK53" s="76"/>
    </row>
    <row r="54" spans="1:37" x14ac:dyDescent="0.25">
      <c r="A54" s="108">
        <f t="shared" si="5"/>
        <v>12000</v>
      </c>
      <c r="B54" s="65">
        <f t="shared" si="2"/>
        <v>13500</v>
      </c>
      <c r="D54" s="72"/>
      <c r="E54" s="73">
        <f t="shared" si="0"/>
        <v>462.31805654283892</v>
      </c>
      <c r="F54" s="74">
        <f>IF(A54&lt;=$C$22,IF($C$12*(1-$C$26*(EXP(A54/$C$20)-1))&gt;0,$C$12*(1-$C$26*(EXP(A54/$C$20)-1)),0),IF($C$30*(1-$C$28*(EXP((A54-$C$22)/$C$21)-1))&gt;0,$C$30*(1-$C$28*(EXP((A54-$C$22)/$C$21)-1)),0))</f>
        <v>124.50965644121945</v>
      </c>
      <c r="G54" s="75">
        <f>IF(A54&lt;=$C$22,($C$5-$C$8)*(F54/$C$12)^(1/$C$11)+$C$8, ($C$29-$C$8)*(F54/$C$30)^(1/$C$11)+$C$8)</f>
        <v>10.539122527345569</v>
      </c>
      <c r="H54" s="162">
        <f t="shared" si="3"/>
        <v>8717.7888628367</v>
      </c>
      <c r="I54" s="162">
        <f t="shared" si="4"/>
        <v>18282.2111371633</v>
      </c>
      <c r="L54" s="21"/>
      <c r="Y54" s="76"/>
      <c r="AA54" s="76"/>
      <c r="AB54" s="76"/>
      <c r="AC54" s="76"/>
      <c r="AD54" s="76"/>
      <c r="AE54" s="76"/>
      <c r="AF54" s="76"/>
      <c r="AG54" s="76"/>
      <c r="AH54" s="76"/>
      <c r="AI54" s="76"/>
      <c r="AJ54" s="76"/>
      <c r="AK54" s="76"/>
    </row>
    <row r="55" spans="1:37" x14ac:dyDescent="0.25">
      <c r="A55" s="108">
        <f t="shared" si="5"/>
        <v>13000</v>
      </c>
      <c r="B55" s="65">
        <f t="shared" si="2"/>
        <v>14500</v>
      </c>
      <c r="D55" s="72"/>
      <c r="E55" s="73">
        <f t="shared" si="0"/>
        <v>431.09264403617232</v>
      </c>
      <c r="F55" s="74">
        <f>IF(A55&lt;=$C$22,IF($C$12*(1-$C$26*(EXP(A55/$C$20)-1))&gt;0,$C$12*(1-$C$26*(EXP(A55/$C$20)-1)),0),IF($C$30*(1-$C$28*(EXP((A55-$C$22)/$C$21)-1))&gt;0,$C$30*(1-$C$28*(EXP((A55-$C$22)/$C$21)-1)),0))</f>
        <v>102.12768991215923</v>
      </c>
      <c r="G55" s="75">
        <f>IF(A55&lt;=$C$22,($C$5-$C$8)*(F55/$C$12)^(1/$C$11)+$C$8, ($C$29-$C$8)*(F55/$C$30)^(1/$C$11)+$C$8)</f>
        <v>8.4563462618061429</v>
      </c>
      <c r="H55" s="162">
        <f t="shared" si="3"/>
        <v>9874.5683922312928</v>
      </c>
      <c r="I55" s="162">
        <f t="shared" si="4"/>
        <v>19125.431607768707</v>
      </c>
      <c r="L55" s="21"/>
      <c r="Y55" s="76"/>
      <c r="AA55" s="76"/>
      <c r="AB55" s="76"/>
      <c r="AC55" s="76"/>
      <c r="AD55" s="76"/>
      <c r="AE55" s="76"/>
      <c r="AF55" s="76"/>
      <c r="AG55" s="76"/>
      <c r="AH55" s="76"/>
      <c r="AI55" s="76"/>
      <c r="AJ55" s="76"/>
      <c r="AK55" s="76"/>
    </row>
    <row r="56" spans="1:37" x14ac:dyDescent="0.25">
      <c r="A56" s="108">
        <f t="shared" si="5"/>
        <v>14000</v>
      </c>
      <c r="B56" s="65">
        <f t="shared" si="2"/>
        <v>15500</v>
      </c>
      <c r="D56" s="72"/>
      <c r="E56" s="73">
        <f t="shared" si="0"/>
        <v>401.97622634900858</v>
      </c>
      <c r="F56" s="74">
        <f>IF(A56&lt;=$C$22,IF($C$12*(1-$C$26*(EXP(A56/$C$20)-1))&gt;0,$C$12*(1-$C$26*(EXP(A56/$C$20)-1)),0),IF($C$30*(1-$C$28*(EXP((A56-$C$22)/$C$21)-1))&gt;0,$C$30*(1-$C$28*(EXP((A56-$C$22)/$C$21)-1)),0))</f>
        <v>78.124526298785796</v>
      </c>
      <c r="G56" s="75">
        <f>IF(A56&lt;=$C$22,($C$5-$C$8)*(F56/$C$12)^(1/$C$11)+$C$8, ($C$29-$C$8)*(F56/$C$30)^(1/$C$11)+$C$8)</f>
        <v>6.2791114200669389</v>
      </c>
      <c r="H56" s="162">
        <f t="shared" si="3"/>
        <v>11026.208077287738</v>
      </c>
      <c r="I56" s="162">
        <f t="shared" si="4"/>
        <v>19973.791922712262</v>
      </c>
      <c r="L56" s="21"/>
      <c r="Y56" s="76"/>
      <c r="AA56" s="76"/>
      <c r="AB56" s="76"/>
      <c r="AC56" s="76"/>
      <c r="AD56" s="76"/>
      <c r="AE56" s="76"/>
      <c r="AF56" s="76"/>
      <c r="AG56" s="76"/>
      <c r="AH56" s="76"/>
      <c r="AI56" s="76"/>
      <c r="AJ56" s="76"/>
      <c r="AK56" s="76"/>
    </row>
    <row r="57" spans="1:37" x14ac:dyDescent="0.25">
      <c r="A57" s="108">
        <f t="shared" si="5"/>
        <v>15000</v>
      </c>
      <c r="B57" s="65">
        <f t="shared" si="2"/>
        <v>16500</v>
      </c>
      <c r="D57" s="72"/>
      <c r="E57" s="73">
        <f t="shared" si="0"/>
        <v>374.82635991402128</v>
      </c>
      <c r="F57" s="74">
        <f>IF(A57&lt;=$C$22,IF($C$12*(1-$C$26*(EXP(A57/$C$20)-1))&gt;0,$C$12*(1-$C$26*(EXP(A57/$C$20)-1)),0),IF($C$30*(1-$C$28*(EXP((A57-$C$22)/$C$21)-1))&gt;0,$C$30*(1-$C$28*(EXP((A57-$C$22)/$C$21)-1)),0))</f>
        <v>52.382737135518468</v>
      </c>
      <c r="G57" s="75">
        <f>IF(A57&lt;=$C$22,($C$5-$C$8)*(F57/$C$12)^(1/$C$11)+$C$8, ($C$29-$C$8)*(F57/$C$30)^(1/$C$11)+$C$8)</f>
        <v>4.0272647342351826</v>
      </c>
      <c r="H57" s="162">
        <f t="shared" si="3"/>
        <v>12172.87642214635</v>
      </c>
      <c r="I57" s="162">
        <f t="shared" si="4"/>
        <v>20827.12357785365</v>
      </c>
      <c r="L57" s="21"/>
      <c r="Y57" s="76"/>
      <c r="AA57" s="76"/>
      <c r="AB57" s="76"/>
      <c r="AC57" s="76"/>
      <c r="AD57" s="76"/>
      <c r="AE57" s="76"/>
      <c r="AF57" s="76"/>
      <c r="AG57" s="76"/>
      <c r="AH57" s="76"/>
      <c r="AI57" s="76"/>
      <c r="AJ57" s="76"/>
      <c r="AK57" s="76"/>
    </row>
    <row r="58" spans="1:37" x14ac:dyDescent="0.25">
      <c r="A58" s="108">
        <f t="shared" si="5"/>
        <v>16000</v>
      </c>
      <c r="B58" s="65">
        <f t="shared" si="2"/>
        <v>17500</v>
      </c>
      <c r="D58" s="72"/>
      <c r="E58" s="73">
        <f t="shared" si="0"/>
        <v>349.51022194136766</v>
      </c>
      <c r="F58" s="74">
        <f>IF(A58&lt;=$C$22,IF($C$12*(1-$C$26*(EXP(A58/$C$20)-1))&gt;0,$C$12*(1-$C$26*(EXP(A58/$C$20)-1)),0),IF($C$30*(1-$C$28*(EXP((A58-$C$22)/$C$21)-1))&gt;0,$C$30*(1-$C$28*(EXP((A58-$C$22)/$C$21)-1)),0))</f>
        <v>24.776388239204028</v>
      </c>
      <c r="G58" s="75">
        <f>IF(A58&lt;=$C$22,($C$5-$C$8)*(F58/$C$12)^(1/$C$11)+$C$8, ($C$29-$C$8)*(F58/$C$30)^(1/$C$11)+$C$8)</f>
        <v>1.7527992962538741</v>
      </c>
      <c r="H58" s="162">
        <f t="shared" si="3"/>
        <v>13314.736406724647</v>
      </c>
      <c r="I58" s="162">
        <f t="shared" si="4"/>
        <v>21685.263593275355</v>
      </c>
      <c r="L58" s="21"/>
      <c r="Y58" s="76"/>
      <c r="AA58" s="76"/>
      <c r="AB58" s="76"/>
      <c r="AC58" s="76"/>
      <c r="AD58" s="76"/>
      <c r="AE58" s="76"/>
      <c r="AF58" s="76"/>
      <c r="AG58" s="76"/>
      <c r="AH58" s="76"/>
      <c r="AI58" s="76"/>
      <c r="AJ58" s="76"/>
      <c r="AK58" s="76"/>
    </row>
    <row r="59" spans="1:37" x14ac:dyDescent="0.25">
      <c r="A59" s="108">
        <f t="shared" si="5"/>
        <v>17000</v>
      </c>
      <c r="B59" s="65">
        <f t="shared" si="2"/>
        <v>18500</v>
      </c>
      <c r="D59" s="72"/>
      <c r="E59" s="73">
        <f t="shared" si="0"/>
        <v>325.90396062199272</v>
      </c>
      <c r="F59" s="74">
        <f>IF(A59&lt;=$C$22,IF($C$12*(1-$C$26*(EXP(A59/$C$20)-1))&gt;0,$C$12*(1-$C$26*(EXP(A59/$C$20)-1)),0),IF($C$30*(1-$C$28*(EXP((A59-$C$22)/$C$21)-1))&gt;0,$C$30*(1-$C$28*(EXP((A59-$C$22)/$C$21)-1)),0))</f>
        <v>0</v>
      </c>
      <c r="G59" s="75">
        <f>IF(A59&lt;=$C$22,($C$5-$C$8)*(F59/$C$12)^(1/$C$11)+$C$8, ($C$29-$C$8)*(F59/$C$30)^(1/$C$11)+$C$8)</f>
        <v>0</v>
      </c>
      <c r="H59" s="162">
        <f t="shared" si="3"/>
        <v>14451.945667822905</v>
      </c>
      <c r="I59" s="162">
        <f t="shared" si="4"/>
        <v>22548.054332177097</v>
      </c>
      <c r="L59" s="21"/>
      <c r="Y59" s="76"/>
      <c r="AA59" s="76"/>
      <c r="AB59" s="76"/>
      <c r="AC59" s="76"/>
      <c r="AD59" s="76"/>
      <c r="AE59" s="76"/>
      <c r="AF59" s="76"/>
      <c r="AG59" s="76"/>
      <c r="AH59" s="76"/>
      <c r="AI59" s="76"/>
      <c r="AJ59" s="76"/>
      <c r="AK59" s="76"/>
    </row>
    <row r="60" spans="1:37" x14ac:dyDescent="0.25">
      <c r="A60" s="108">
        <f t="shared" si="5"/>
        <v>18000</v>
      </c>
      <c r="B60" s="65">
        <f t="shared" si="2"/>
        <v>19500</v>
      </c>
      <c r="D60" s="72"/>
      <c r="E60" s="73">
        <f t="shared" si="0"/>
        <v>303.89208921883636</v>
      </c>
      <c r="F60" s="74">
        <f>IF(A60&lt;=$C$22,IF($C$12*(1-$C$26*(EXP(A60/$C$20)-1))&gt;0,$C$12*(1-$C$26*(EXP(A60/$C$20)-1)),0),IF($C$30*(1-$C$28*(EXP((A60-$C$22)/$C$21)-1))&gt;0,$C$30*(1-$C$28*(EXP((A60-$C$22)/$C$21)-1)),0))</f>
        <v>0</v>
      </c>
      <c r="G60" s="75">
        <f>IF(A60&lt;=$C$22,($C$5-$C$8)*(F60/$C$12)^(1/$C$11)+$C$8, ($C$29-$C$8)*(F60/$C$30)^(1/$C$11)+$C$8)</f>
        <v>0</v>
      </c>
      <c r="H60" s="162">
        <f t="shared" si="3"/>
        <v>15584.656674292379</v>
      </c>
      <c r="I60" s="162">
        <f t="shared" si="4"/>
        <v>23415.343325707621</v>
      </c>
      <c r="Y60" s="76"/>
      <c r="AA60" s="76"/>
      <c r="AB60" s="76"/>
      <c r="AC60" s="76"/>
      <c r="AD60" s="76"/>
      <c r="AE60" s="76"/>
      <c r="AF60" s="76"/>
      <c r="AG60" s="76"/>
      <c r="AH60" s="76"/>
      <c r="AI60" s="76"/>
      <c r="AJ60" s="76"/>
      <c r="AK60" s="76"/>
    </row>
    <row r="61" spans="1:37" x14ac:dyDescent="0.25">
      <c r="A61" s="108">
        <f t="shared" si="5"/>
        <v>19000</v>
      </c>
      <c r="B61" s="65">
        <f t="shared" si="2"/>
        <v>20500</v>
      </c>
      <c r="D61" s="72"/>
      <c r="E61" s="73">
        <f t="shared" si="0"/>
        <v>283.3669210817107</v>
      </c>
      <c r="F61" s="74">
        <f>IF(A61&lt;=$C$22,IF($C$12*(1-$C$26*(EXP(A61/$C$20)-1))&gt;0,$C$12*(1-$C$26*(EXP(A61/$C$20)-1)),0),IF($C$30*(1-$C$28*(EXP((A61-$C$22)/$C$21)-1))&gt;0,$C$30*(1-$C$28*(EXP((A61-$C$22)/$C$21)-1)),0))</f>
        <v>0</v>
      </c>
      <c r="G61" s="75">
        <f>IF(A61&lt;=$C$22,($C$5-$C$8)*(F61/$C$12)^(1/$C$11)+$C$8, ($C$29-$C$8)*(F61/$C$30)^(1/$C$11)+$C$8)</f>
        <v>0</v>
      </c>
      <c r="H61" s="162">
        <f t="shared" si="3"/>
        <v>16713.016896460827</v>
      </c>
      <c r="I61" s="162">
        <f t="shared" si="4"/>
        <v>24286.983103539173</v>
      </c>
      <c r="Y61" s="76"/>
      <c r="AA61" s="76"/>
      <c r="AB61" s="76"/>
      <c r="AC61" s="76"/>
      <c r="AD61" s="76"/>
      <c r="AE61" s="76"/>
      <c r="AF61" s="76"/>
      <c r="AG61" s="76"/>
      <c r="AH61" s="76"/>
      <c r="AI61" s="76"/>
      <c r="AJ61" s="76"/>
      <c r="AK61" s="76"/>
    </row>
    <row r="62" spans="1:37" x14ac:dyDescent="0.25">
      <c r="A62" s="108">
        <f t="shared" si="5"/>
        <v>20000</v>
      </c>
      <c r="B62" s="65">
        <f t="shared" si="2"/>
        <v>21500</v>
      </c>
      <c r="D62" s="72"/>
      <c r="E62" s="73">
        <f t="shared" si="0"/>
        <v>264.22804282182483</v>
      </c>
      <c r="F62" s="74">
        <f>IF(A62&lt;=$C$22,IF($C$12*(1-$C$26*(EXP(A62/$C$20)-1))&gt;0,$C$12*(1-$C$26*(EXP(A62/$C$20)-1)),0),IF($C$30*(1-$C$28*(EXP((A62-$C$22)/$C$21)-1))&gt;0,$C$30*(1-$C$28*(EXP((A62-$C$22)/$C$21)-1)),0))</f>
        <v>0</v>
      </c>
      <c r="G62" s="75">
        <f>IF(A62&lt;=$C$22,($C$5-$C$8)*(F62/$C$12)^(1/$C$11)+$C$8, ($C$29-$C$8)*(F62/$C$30)^(1/$C$11)+$C$8)</f>
        <v>0</v>
      </c>
      <c r="H62" s="162">
        <f t="shared" si="3"/>
        <v>17837.168970003597</v>
      </c>
      <c r="I62" s="162">
        <f t="shared" si="4"/>
        <v>25162.831029996403</v>
      </c>
      <c r="Y62" s="76"/>
      <c r="AA62" s="76"/>
      <c r="AB62" s="76"/>
      <c r="AC62" s="76"/>
      <c r="AD62" s="76"/>
      <c r="AE62" s="76"/>
      <c r="AF62" s="76"/>
      <c r="AG62" s="76"/>
      <c r="AH62" s="76"/>
      <c r="AI62" s="76"/>
      <c r="AJ62" s="76"/>
      <c r="AK62" s="76"/>
    </row>
    <row r="63" spans="1:37" x14ac:dyDescent="0.25">
      <c r="A63" s="108">
        <f t="shared" si="5"/>
        <v>21000</v>
      </c>
      <c r="B63" s="65">
        <f t="shared" si="2"/>
        <v>22500</v>
      </c>
      <c r="D63" s="72"/>
      <c r="E63" s="73">
        <f t="shared" si="0"/>
        <v>246.38182306861444</v>
      </c>
      <c r="F63" s="74">
        <f>IF(A63&lt;=$C$22,IF($C$12*(1-$C$26*(EXP(A63/$C$20)-1))&gt;0,$C$12*(1-$C$26*(EXP(A63/$C$20)-1)),0),IF($C$30*(1-$C$28*(EXP((A63-$C$22)/$C$21)-1))&gt;0,$C$30*(1-$C$28*(EXP((A63-$C$22)/$C$21)-1)),0))</f>
        <v>0</v>
      </c>
      <c r="G63" s="75">
        <f>IF(A63&lt;=$C$22,($C$5-$C$8)*(F63/$C$12)^(1/$C$11)+$C$8, ($C$29-$C$8)*(F63/$C$30)^(1/$C$11)+$C$8)</f>
        <v>0</v>
      </c>
      <c r="H63" s="162">
        <f t="shared" si="3"/>
        <v>18957.250854442391</v>
      </c>
      <c r="I63" s="162">
        <f t="shared" si="4"/>
        <v>26042.749145557609</v>
      </c>
      <c r="Y63" s="76"/>
      <c r="AA63" s="76"/>
      <c r="AB63" s="76"/>
      <c r="AC63" s="76"/>
      <c r="AD63" s="76"/>
      <c r="AE63" s="76"/>
      <c r="AF63" s="76"/>
      <c r="AG63" s="76"/>
      <c r="AH63" s="76"/>
      <c r="AI63" s="76"/>
      <c r="AJ63" s="76"/>
      <c r="AK63" s="76"/>
    </row>
    <row r="64" spans="1:37" x14ac:dyDescent="0.25">
      <c r="A64" s="108">
        <f t="shared" si="5"/>
        <v>22000</v>
      </c>
      <c r="B64" s="65">
        <f t="shared" si="2"/>
        <v>23500</v>
      </c>
      <c r="D64" s="72"/>
      <c r="E64" s="73">
        <f t="shared" si="0"/>
        <v>229.74095440561607</v>
      </c>
      <c r="F64" s="74">
        <f>IF(A64&lt;=$C$22,IF($C$12*(1-$C$26*(EXP(A64/$C$20)-1))&gt;0,$C$12*(1-$C$26*(EXP(A64/$C$20)-1)),0),IF($C$30*(1-$C$28*(EXP((A64-$C$22)/$C$21)-1))&gt;0,$C$30*(1-$C$28*(EXP((A64-$C$22)/$C$21)-1)),0))</f>
        <v>0</v>
      </c>
      <c r="G64" s="75">
        <f>IF(A64&lt;=$C$22,($C$5-$C$8)*(F64/$C$12)^(1/$C$11)+$C$8, ($C$29-$C$8)*(F64/$C$30)^(1/$C$11)+$C$8)</f>
        <v>0</v>
      </c>
      <c r="H64" s="162">
        <f t="shared" si="3"/>
        <v>20073.395986447809</v>
      </c>
      <c r="I64" s="162">
        <f t="shared" si="4"/>
        <v>26926.604013552191</v>
      </c>
      <c r="Y64" s="76"/>
    </row>
    <row r="65" spans="1:37" x14ac:dyDescent="0.25">
      <c r="A65" s="108">
        <f t="shared" si="5"/>
        <v>23000</v>
      </c>
      <c r="B65" s="65">
        <f t="shared" si="2"/>
        <v>24500</v>
      </c>
      <c r="D65" s="72"/>
      <c r="E65" s="73">
        <f t="shared" si="0"/>
        <v>214.22402624443811</v>
      </c>
      <c r="F65" s="74">
        <f>IF(A65&lt;=$C$22,IF($C$12*(1-$C$26*(EXP(A65/$C$20)-1))&gt;0,$C$12*(1-$C$26*(EXP(A65/$C$20)-1)),0),IF($C$30*(1-$C$28*(EXP((A65-$C$22)/$C$21)-1))&gt;0,$C$30*(1-$C$28*(EXP((A65-$C$22)/$C$21)-1)),0))</f>
        <v>0</v>
      </c>
      <c r="G65" s="75">
        <f>IF(A65&lt;=$C$22,($C$5-$C$8)*(F65/$C$12)^(1/$C$11)+$C$8, ($C$29-$C$8)*(F65/$C$30)^(1/$C$11)+$C$8)</f>
        <v>0</v>
      </c>
      <c r="H65" s="162">
        <f t="shared" si="3"/>
        <v>21185.733428116058</v>
      </c>
      <c r="I65" s="162">
        <f t="shared" si="4"/>
        <v>27814.266571883942</v>
      </c>
      <c r="Y65" s="76"/>
      <c r="AA65" s="76"/>
      <c r="AC65" s="76"/>
      <c r="AD65" s="76"/>
      <c r="AE65" s="76"/>
      <c r="AF65" s="76"/>
      <c r="AG65" s="76"/>
      <c r="AH65" s="76"/>
      <c r="AI65" s="76"/>
      <c r="AJ65" s="76"/>
      <c r="AK65" s="76"/>
    </row>
    <row r="66" spans="1:37" x14ac:dyDescent="0.25">
      <c r="A66" s="108">
        <f t="shared" si="5"/>
        <v>24000</v>
      </c>
      <c r="B66" s="65">
        <f t="shared" si="2"/>
        <v>25500</v>
      </c>
      <c r="D66" s="72"/>
      <c r="E66" s="73">
        <f t="shared" si="0"/>
        <v>199.75512654724074</v>
      </c>
      <c r="F66" s="74">
        <f>IF(A66&lt;=$C$22,IF($C$12*(1-$C$26*(EXP(A66/$C$20)-1))&gt;0,$C$12*(1-$C$26*(EXP(A66/$C$20)-1)),0),IF($C$30*(1-$C$28*(EXP((A66-$C$22)/$C$21)-1))&gt;0,$C$30*(1-$C$28*(EXP((A66-$C$22)/$C$21)-1)),0))</f>
        <v>0</v>
      </c>
      <c r="G66" s="75">
        <f>IF(A66&lt;=$C$22,($C$5-$C$8)*(F66/$C$12)^(1/$C$11)+$C$8, ($C$29-$C$8)*(F66/$C$30)^(1/$C$11)+$C$8)</f>
        <v>0</v>
      </c>
      <c r="H66" s="162">
        <f t="shared" si="3"/>
        <v>22294.388010384551</v>
      </c>
      <c r="I66" s="162">
        <f t="shared" si="4"/>
        <v>28705.611989615449</v>
      </c>
      <c r="Y66" s="76"/>
      <c r="AA66" s="76"/>
      <c r="AC66" s="76"/>
      <c r="AD66" s="76"/>
      <c r="AE66" s="76"/>
      <c r="AF66" s="76"/>
      <c r="AG66" s="76"/>
      <c r="AH66" s="76"/>
      <c r="AI66" s="76"/>
      <c r="AJ66" s="76"/>
      <c r="AK66" s="76"/>
    </row>
    <row r="67" spans="1:37" x14ac:dyDescent="0.25">
      <c r="A67" s="108">
        <f t="shared" si="5"/>
        <v>25000</v>
      </c>
      <c r="B67" s="65">
        <f t="shared" si="2"/>
        <v>26500</v>
      </c>
      <c r="D67" s="72"/>
      <c r="E67" s="73">
        <f t="shared" si="0"/>
        <v>186.26347044926825</v>
      </c>
      <c r="F67" s="74">
        <f>IF(A67&lt;=$C$22,IF($C$12*(1-$C$26*(EXP(A67/$C$20)-1))&gt;0,$C$12*(1-$C$26*(EXP(A67/$C$20)-1)),0),IF($C$30*(1-$C$28*(EXP((A67-$C$22)/$C$21)-1))&gt;0,$C$30*(1-$C$28*(EXP((A67-$C$22)/$C$21)-1)),0))</f>
        <v>0</v>
      </c>
      <c r="G67" s="75">
        <f>IF(A67&lt;=$C$22,($C$5-$C$8)*(F67/$C$12)^(1/$C$11)+$C$8, ($C$29-$C$8)*(F67/$C$30)^(1/$C$11)+$C$8)</f>
        <v>0</v>
      </c>
      <c r="H67" s="162">
        <f t="shared" si="3"/>
        <v>23399.480471745781</v>
      </c>
      <c r="I67" s="162">
        <f t="shared" si="4"/>
        <v>29600.519528254219</v>
      </c>
      <c r="Y67" s="76"/>
      <c r="AA67" s="76"/>
      <c r="AC67" s="76"/>
      <c r="AD67" s="76"/>
      <c r="AE67" s="76"/>
      <c r="AF67" s="76"/>
      <c r="AG67" s="76"/>
      <c r="AH67" s="76"/>
      <c r="AI67" s="76"/>
      <c r="AJ67" s="76"/>
      <c r="AK67" s="76"/>
    </row>
    <row r="68" spans="1:37" x14ac:dyDescent="0.25">
      <c r="A68" s="108">
        <f t="shared" si="5"/>
        <v>26000</v>
      </c>
      <c r="B68" s="65">
        <f t="shared" si="2"/>
        <v>27500</v>
      </c>
      <c r="D68" s="72"/>
      <c r="E68" s="73">
        <f t="shared" si="0"/>
        <v>173.68305396457754</v>
      </c>
      <c r="F68" s="74">
        <f>IF(A68&lt;=$C$22,IF($C$12*(1-$C$26*(EXP(A68/$C$20)-1))&gt;0,$C$12*(1-$C$26*(EXP(A68/$C$20)-1)),0),IF($C$30*(1-$C$28*(EXP((A68-$C$22)/$C$21)-1))&gt;0,$C$30*(1-$C$28*(EXP((A68-$C$22)/$C$21)-1)),0))</f>
        <v>0</v>
      </c>
      <c r="G68" s="75">
        <f>IF(A68&lt;=$C$22,($C$5-$C$8)*(F68/$C$12)^(1/$C$11)+$C$8, ($C$29-$C$8)*(F68/$C$30)^(1/$C$11)+$C$8)</f>
        <v>0</v>
      </c>
      <c r="H68" s="162">
        <f t="shared" si="3"/>
        <v>24501.127592413646</v>
      </c>
      <c r="I68" s="162">
        <f t="shared" si="4"/>
        <v>30498.872407586354</v>
      </c>
      <c r="Y68" s="76"/>
      <c r="AA68" s="76"/>
      <c r="AC68" s="76"/>
      <c r="AD68" s="76"/>
      <c r="AE68" s="76"/>
      <c r="AF68" s="76"/>
      <c r="AG68" s="76"/>
      <c r="AH68" s="76"/>
      <c r="AI68" s="76"/>
      <c r="AJ68" s="76"/>
      <c r="AK68" s="76"/>
    </row>
    <row r="69" spans="1:37" x14ac:dyDescent="0.25">
      <c r="A69" s="108">
        <f t="shared" si="5"/>
        <v>27000</v>
      </c>
      <c r="B69" s="65">
        <f t="shared" si="2"/>
        <v>28500</v>
      </c>
      <c r="D69" s="72"/>
      <c r="E69" s="73">
        <f t="shared" si="0"/>
        <v>161.95233108081962</v>
      </c>
      <c r="F69" s="74">
        <f>IF(A69&lt;=$C$22,IF($C$12*(1-$C$26*(EXP(A69/$C$20)-1))&gt;0,$C$12*(1-$C$26*(EXP(A69/$C$20)-1)),0),IF($C$30*(1-$C$28*(EXP((A69-$C$22)/$C$21)-1))&gt;0,$C$30*(1-$C$28*(EXP((A69-$C$22)/$C$21)-1)),0))</f>
        <v>0</v>
      </c>
      <c r="G69" s="75">
        <f>IF(A69&lt;=$C$22,($C$5-$C$8)*(F69/$C$12)^(1/$C$11)+$C$8, ($C$29-$C$8)*(F69/$C$30)^(1/$C$11)+$C$8)</f>
        <v>0</v>
      </c>
      <c r="H69" s="162">
        <f t="shared" si="3"/>
        <v>25599.44232409124</v>
      </c>
      <c r="I69" s="162">
        <f t="shared" si="4"/>
        <v>31400.55767590876</v>
      </c>
      <c r="Y69" s="76"/>
      <c r="AA69" s="76"/>
      <c r="AC69" s="76"/>
      <c r="AD69" s="76"/>
      <c r="AE69" s="76"/>
      <c r="AF69" s="76"/>
      <c r="AG69" s="76"/>
      <c r="AH69" s="76"/>
      <c r="AI69" s="76"/>
      <c r="AJ69" s="76"/>
      <c r="AK69" s="76"/>
    </row>
    <row r="70" spans="1:37" x14ac:dyDescent="0.25">
      <c r="A70" s="108">
        <f t="shared" si="5"/>
        <v>28000</v>
      </c>
      <c r="B70" s="65">
        <f t="shared" si="2"/>
        <v>29500</v>
      </c>
      <c r="D70" s="72"/>
      <c r="E70" s="73">
        <f t="shared" si="0"/>
        <v>151.01391266335455</v>
      </c>
      <c r="F70" s="74">
        <f>IF(A70&lt;=$C$22,IF($C$12*(1-$C$26*(EXP(A70/$C$20)-1))&gt;0,$C$12*(1-$C$26*(EXP(A70/$C$20)-1)),0),IF($C$30*(1-$C$28*(EXP((A70-$C$22)/$C$21)-1))&gt;0,$C$30*(1-$C$28*(EXP((A70-$C$22)/$C$21)-1)),0))</f>
        <v>0</v>
      </c>
      <c r="G70" s="75">
        <f>IF(A70&lt;=$C$22,($C$5-$C$8)*(F70/$C$12)^(1/$C$11)+$C$8, ($C$29-$C$8)*(F70/$C$30)^(1/$C$11)+$C$8)</f>
        <v>0</v>
      </c>
      <c r="H70" s="162">
        <f t="shared" si="3"/>
        <v>26694.533915484379</v>
      </c>
      <c r="I70" s="162">
        <f t="shared" si="4"/>
        <v>32305.466084515621</v>
      </c>
      <c r="Y70" s="76"/>
      <c r="AA70" s="76"/>
      <c r="AC70" s="76"/>
      <c r="AD70" s="76"/>
      <c r="AE70" s="76"/>
      <c r="AF70" s="76"/>
      <c r="AG70" s="76"/>
      <c r="AH70" s="76"/>
      <c r="AI70" s="76"/>
      <c r="AJ70" s="76"/>
      <c r="AK70" s="76"/>
    </row>
    <row r="71" spans="1:37" x14ac:dyDescent="0.25">
      <c r="A71" s="108">
        <f t="shared" si="5"/>
        <v>29000</v>
      </c>
      <c r="B71" s="65">
        <f t="shared" si="2"/>
        <v>30500</v>
      </c>
      <c r="D71" s="72"/>
      <c r="E71" s="73">
        <f t="shared" si="0"/>
        <v>140.81428569567626</v>
      </c>
      <c r="F71" s="74">
        <f>IF(A71&lt;=$C$22,IF($C$12*(1-$C$26*(EXP(A71/$C$20)-1))&gt;0,$C$12*(1-$C$26*(EXP(A71/$C$20)-1)),0),IF($C$30*(1-$C$28*(EXP((A71-$C$22)/$C$21)-1))&gt;0,$C$30*(1-$C$28*(EXP((A71-$C$22)/$C$21)-1)),0))</f>
        <v>0</v>
      </c>
      <c r="G71" s="75">
        <f>IF(A71&lt;=$C$22,($C$5-$C$8)*(F71/$C$12)^(1/$C$11)+$C$8, ($C$29-$C$8)*(F71/$C$30)^(1/$C$11)+$C$8)</f>
        <v>0</v>
      </c>
      <c r="H71" s="162">
        <f t="shared" si="3"/>
        <v>27786.50803370028</v>
      </c>
      <c r="I71" s="162">
        <f t="shared" si="4"/>
        <v>33213.49196629972</v>
      </c>
      <c r="Y71" s="76"/>
    </row>
    <row r="72" spans="1:37" x14ac:dyDescent="0.25">
      <c r="A72" s="108">
        <f t="shared" si="5"/>
        <v>30000</v>
      </c>
      <c r="B72" s="65">
        <f t="shared" si="2"/>
        <v>31500</v>
      </c>
      <c r="D72" s="72"/>
      <c r="E72" s="73">
        <f t="shared" si="0"/>
        <v>131.30355148261256</v>
      </c>
      <c r="F72" s="74">
        <f>IF(A72&lt;=$C$22,IF($C$12*(1-$C$26*(EXP(A72/$C$20)-1))&gt;0,$C$12*(1-$C$26*(EXP(A72/$C$20)-1)),0),IF($C$30*(1-$C$28*(EXP((A72-$C$22)/$C$21)-1))&gt;0,$C$30*(1-$C$28*(EXP((A72-$C$22)/$C$21)-1)),0))</f>
        <v>0</v>
      </c>
      <c r="G72" s="75">
        <f>IF(A72&lt;=$C$22,($C$5-$C$8)*(F72/$C$12)^(1/$C$11)+$C$8, ($C$29-$C$8)*(F72/$C$30)^(1/$C$11)+$C$8)</f>
        <v>0</v>
      </c>
      <c r="H72" s="162">
        <f t="shared" si="3"/>
        <v>28875.466881666336</v>
      </c>
      <c r="I72" s="162">
        <f t="shared" si="4"/>
        <v>34124.533118333668</v>
      </c>
      <c r="Y72" s="76"/>
    </row>
    <row r="73" spans="1:37" x14ac:dyDescent="0.25">
      <c r="A73" s="108">
        <f t="shared" si="5"/>
        <v>31000</v>
      </c>
      <c r="B73" s="65">
        <f t="shared" si="2"/>
        <v>32500</v>
      </c>
      <c r="D73" s="72"/>
      <c r="E73" s="73">
        <f t="shared" si="0"/>
        <v>122.43518153553694</v>
      </c>
      <c r="F73" s="74">
        <f>IF(A73&lt;=$C$22,IF($C$12*(1-$C$26*(EXP(A73/$C$20)-1))&gt;0,$C$12*(1-$C$26*(EXP(A73/$C$20)-1)),0),IF($C$30*(1-$C$28*(EXP((A73-$C$22)/$C$21)-1))&gt;0,$C$30*(1-$C$28*(EXP((A73-$C$22)/$C$21)-1)),0))</f>
        <v>0</v>
      </c>
      <c r="G73" s="75">
        <f>IF(A73&lt;=$C$22,($C$5-$C$8)*(F73/$C$12)^(1/$C$11)+$C$8, ($C$29-$C$8)*(F73/$C$30)^(1/$C$11)+$C$8)</f>
        <v>0</v>
      </c>
      <c r="H73" s="162">
        <f t="shared" si="3"/>
        <v>29961.509311699432</v>
      </c>
      <c r="I73" s="162">
        <f t="shared" si="4"/>
        <v>35038.490688300568</v>
      </c>
      <c r="Y73" s="76"/>
    </row>
    <row r="74" spans="1:37" x14ac:dyDescent="0.25">
      <c r="A74" s="108">
        <f t="shared" si="5"/>
        <v>32000</v>
      </c>
      <c r="B74" s="65">
        <f t="shared" si="2"/>
        <v>33500</v>
      </c>
      <c r="D74" s="72"/>
      <c r="E74" s="73">
        <f t="shared" si="0"/>
        <v>114.16578994533089</v>
      </c>
      <c r="F74" s="74">
        <f>IF(A74&lt;=$C$22,IF($C$12*(1-$C$26*(EXP(A74/$C$20)-1))&gt;0,$C$12*(1-$C$26*(EXP(A74/$C$20)-1)),0),IF($C$30*(1-$C$28*(EXP((A74-$C$22)/$C$21)-1))&gt;0,$C$30*(1-$C$28*(EXP((A74-$C$22)/$C$21)-1)),0))</f>
        <v>0</v>
      </c>
      <c r="G74" s="75">
        <f>IF(A74&lt;=$C$22,($C$5-$C$8)*(F74/$C$12)^(1/$C$11)+$C$8, ($C$29-$C$8)*(F74/$C$30)^(1/$C$11)+$C$8)</f>
        <v>0</v>
      </c>
      <c r="H74" s="162">
        <f t="shared" si="3"/>
        <v>31044.730935352043</v>
      </c>
      <c r="I74" s="162">
        <f t="shared" si="4"/>
        <v>35955.26906464796</v>
      </c>
      <c r="Y74" s="76"/>
    </row>
    <row r="75" spans="1:37" x14ac:dyDescent="0.25">
      <c r="A75" s="108">
        <f t="shared" si="5"/>
        <v>33000</v>
      </c>
      <c r="B75" s="65">
        <f t="shared" si="2"/>
        <v>34500</v>
      </c>
      <c r="D75" s="72"/>
      <c r="E75" s="73">
        <f t="shared" si="0"/>
        <v>106.45492112949854</v>
      </c>
      <c r="F75" s="74">
        <f>IF(A75&lt;=$C$22,IF($C$12*(1-$C$26*(EXP(A75/$C$20)-1))&gt;0,$C$12*(1-$C$26*(EXP(A75/$C$20)-1)),0),IF($C$30*(1-$C$28*(EXP((A75-$C$22)/$C$21)-1))&gt;0,$C$30*(1-$C$28*(EXP((A75-$C$22)/$C$21)-1)),0))</f>
        <v>0</v>
      </c>
      <c r="G75" s="75">
        <f>IF(A75&lt;=$C$22,($C$5-$C$8)*(F75/$C$12)^(1/$C$11)+$C$8, ($C$29-$C$8)*(F75/$C$30)^(1/$C$11)+$C$8)</f>
        <v>0</v>
      </c>
      <c r="H75" s="162">
        <f t="shared" si="3"/>
        <v>32125.224229657098</v>
      </c>
      <c r="I75" s="162">
        <f t="shared" si="4"/>
        <v>36874.775770342902</v>
      </c>
      <c r="Y75" s="76"/>
    </row>
    <row r="76" spans="1:37" x14ac:dyDescent="0.25">
      <c r="A76" s="108">
        <f t="shared" si="5"/>
        <v>34000</v>
      </c>
      <c r="B76" s="65">
        <f t="shared" si="2"/>
        <v>35500</v>
      </c>
      <c r="D76" s="72"/>
      <c r="E76" s="73">
        <f t="shared" si="0"/>
        <v>99.264851915048055</v>
      </c>
      <c r="F76" s="74">
        <f>IF(A76&lt;=$C$22,IF($C$12*(1-$C$26*(EXP(A76/$C$20)-1))&gt;0,$C$12*(1-$C$26*(EXP(A76/$C$20)-1)),0),IF($C$30*(1-$C$28*(EXP((A76-$C$22)/$C$21)-1))&gt;0,$C$30*(1-$C$28*(EXP((A76-$C$22)/$C$21)-1)),0))</f>
        <v>0</v>
      </c>
      <c r="G76" s="75">
        <f>IF(A76&lt;=$C$22,($C$5-$C$8)*(F76/$C$12)^(1/$C$11)+$C$8, ($C$29-$C$8)*(F76/$C$30)^(1/$C$11)+$C$8)</f>
        <v>0</v>
      </c>
      <c r="H76" s="162">
        <f t="shared" si="3"/>
        <v>33203.078639889791</v>
      </c>
      <c r="I76" s="162">
        <f t="shared" si="4"/>
        <v>37796.921360110209</v>
      </c>
      <c r="Y76" s="76"/>
    </row>
    <row r="77" spans="1:37" x14ac:dyDescent="0.25">
      <c r="A77" s="108">
        <f t="shared" si="5"/>
        <v>35000</v>
      </c>
      <c r="B77" s="65">
        <f t="shared" si="2"/>
        <v>36500</v>
      </c>
      <c r="D77" s="72"/>
      <c r="E77" s="73">
        <f t="shared" si="0"/>
        <v>92.560406988888545</v>
      </c>
      <c r="F77" s="74">
        <f>IF(A77&lt;=$C$22,IF($C$12*(1-$C$26*(EXP(A77/$C$20)-1))&gt;0,$C$12*(1-$C$26*(EXP(A77/$C$20)-1)),0),IF($C$30*(1-$C$28*(EXP((A77-$C$22)/$C$21)-1))&gt;0,$C$30*(1-$C$28*(EXP((A77-$C$22)/$C$21)-1)),0))</f>
        <v>0</v>
      </c>
      <c r="G77" s="75">
        <f>IF(A77&lt;=$C$22,($C$5-$C$8)*(F77/$C$12)^(1/$C$11)+$C$8, ($C$29-$C$8)*(F77/$C$30)^(1/$C$11)+$C$8)</f>
        <v>0</v>
      </c>
      <c r="H77" s="162">
        <f t="shared" si="3"/>
        <v>34278.380678960377</v>
      </c>
      <c r="I77" s="162">
        <f t="shared" si="4"/>
        <v>38721.619321039623</v>
      </c>
      <c r="Y77" s="76"/>
    </row>
    <row r="78" spans="1:37" x14ac:dyDescent="0.25">
      <c r="A78" s="108">
        <f t="shared" si="5"/>
        <v>36000</v>
      </c>
      <c r="B78" s="65">
        <f t="shared" si="2"/>
        <v>37500</v>
      </c>
      <c r="D78" s="72"/>
      <c r="E78" s="73">
        <f t="shared" si="0"/>
        <v>86.308786812887092</v>
      </c>
      <c r="F78" s="74">
        <f>IF(A78&lt;=$C$22,IF($C$12*(1-$C$26*(EXP(A78/$C$20)-1))&gt;0,$C$12*(1-$C$26*(EXP(A78/$C$20)-1)),0),IF($C$30*(1-$C$28*(EXP((A78-$C$22)/$C$21)-1))&gt;0,$C$30*(1-$C$28*(EXP((A78-$C$22)/$C$21)-1)),0))</f>
        <v>0</v>
      </c>
      <c r="G78" s="75">
        <f>IF(A78&lt;=$C$22,($C$5-$C$8)*(F78/$C$12)^(1/$C$11)+$C$8, ($C$29-$C$8)*(F78/$C$30)^(1/$C$11)+$C$8)</f>
        <v>0</v>
      </c>
      <c r="H78" s="162">
        <f t="shared" si="3"/>
        <v>35351.214023548571</v>
      </c>
      <c r="I78" s="162">
        <f t="shared" si="4"/>
        <v>39648.785976451429</v>
      </c>
      <c r="Y78" s="76"/>
    </row>
    <row r="79" spans="1:37" x14ac:dyDescent="0.25">
      <c r="A79" s="108">
        <f t="shared" si="5"/>
        <v>37000</v>
      </c>
      <c r="B79" s="65">
        <f t="shared" si="2"/>
        <v>38500</v>
      </c>
      <c r="D79" s="72"/>
      <c r="E79" s="73">
        <f t="shared" si="0"/>
        <v>80.479407161710455</v>
      </c>
      <c r="F79" s="74">
        <f>IF(A79&lt;=$C$22,IF($C$12*(1-$C$26*(EXP(A79/$C$20)-1))&gt;0,$C$12*(1-$C$26*(EXP(A79/$C$20)-1)),0),IF($C$30*(1-$C$28*(EXP((A79-$C$22)/$C$21)-1))&gt;0,$C$30*(1-$C$28*(EXP((A79-$C$22)/$C$21)-1)),0))</f>
        <v>0</v>
      </c>
      <c r="G79" s="75">
        <f>IF(A79&lt;=$C$22,($C$5-$C$8)*(F79/$C$12)^(1/$C$11)+$C$8, ($C$29-$C$8)*(F79/$C$30)^(1/$C$11)+$C$8)</f>
        <v>0</v>
      </c>
      <c r="H79" s="162">
        <f t="shared" si="3"/>
        <v>36421.659607086236</v>
      </c>
      <c r="I79" s="162">
        <f t="shared" si="4"/>
        <v>40578.340392913764</v>
      </c>
      <c r="Y79" s="76"/>
    </row>
    <row r="80" spans="1:37" x14ac:dyDescent="0.25">
      <c r="A80" s="108">
        <f t="shared" si="5"/>
        <v>38000</v>
      </c>
      <c r="B80" s="65">
        <f t="shared" si="2"/>
        <v>39500</v>
      </c>
      <c r="C80" s="77"/>
      <c r="D80" s="72"/>
      <c r="E80" s="73">
        <f t="shared" si="0"/>
        <v>75.043749498437847</v>
      </c>
      <c r="F80" s="74">
        <f>IF(A80&lt;=$C$22,IF($C$12*(1-$C$26*(EXP(A80/$C$20)-1))&gt;0,$C$12*(1-$C$26*(EXP(A80/$C$20)-1)),0),IF($C$30*(1-$C$28*(EXP((A80-$C$22)/$C$21)-1))&gt;0,$C$30*(1-$C$28*(EXP((A80-$C$22)/$C$21)-1)),0))</f>
        <v>0</v>
      </c>
      <c r="G80" s="75">
        <f>IF(A80&lt;=$C$22,($C$5-$C$8)*(F80/$C$12)^(1/$C$11)+$C$8, ($C$29-$C$8)*(F80/$C$30)^(1/$C$11)+$C$8)</f>
        <v>0</v>
      </c>
      <c r="H80" s="162">
        <f t="shared" si="3"/>
        <v>37489.795709691709</v>
      </c>
      <c r="I80" s="162">
        <f t="shared" si="4"/>
        <v>41510.204290308291</v>
      </c>
      <c r="Y80" s="76"/>
    </row>
    <row r="81" spans="1:25" x14ac:dyDescent="0.25">
      <c r="A81" s="108">
        <f t="shared" si="5"/>
        <v>39000</v>
      </c>
      <c r="B81" s="65">
        <f t="shared" si="2"/>
        <v>40500</v>
      </c>
      <c r="C81" s="77"/>
      <c r="D81" s="72"/>
      <c r="E81" s="73">
        <f t="shared" si="0"/>
        <v>69.975221455950418</v>
      </c>
      <c r="F81" s="74">
        <f>IF(A81&lt;=$C$22,IF($C$12*(1-$C$26*(EXP(A81/$C$20)-1))&gt;0,$C$12*(1-$C$26*(EXP(A81/$C$20)-1)),0),IF($C$30*(1-$C$28*(EXP((A81-$C$22)/$C$21)-1))&gt;0,$C$30*(1-$C$28*(EXP((A81-$C$22)/$C$21)-1)),0))</f>
        <v>0</v>
      </c>
      <c r="G81" s="75">
        <f>IF(A81&lt;=$C$22,($C$5-$C$8)*(F81/$C$12)^(1/$C$11)+$C$8, ($C$29-$C$8)*(F81/$C$30)^(1/$C$11)+$C$8)</f>
        <v>0</v>
      </c>
      <c r="H81" s="162">
        <f t="shared" si="3"/>
        <v>38555.698045155812</v>
      </c>
      <c r="I81" s="162">
        <f t="shared" si="4"/>
        <v>42444.301954844188</v>
      </c>
      <c r="Y81" s="76"/>
    </row>
    <row r="82" spans="1:25" x14ac:dyDescent="0.25">
      <c r="A82" s="108">
        <f t="shared" si="5"/>
        <v>40000</v>
      </c>
      <c r="B82" s="65">
        <f t="shared" si="2"/>
        <v>41500</v>
      </c>
      <c r="C82" s="77"/>
      <c r="D82" s="72"/>
      <c r="E82" s="73">
        <f t="shared" si="0"/>
        <v>65.249026741544029</v>
      </c>
      <c r="F82" s="74">
        <f>IF(A82&lt;=$C$22,IF($C$12*(1-$C$26*(EXP(A82/$C$20)-1))&gt;0,$C$12*(1-$C$26*(EXP(A82/$C$20)-1)),0),IF($C$30*(1-$C$28*(EXP((A82-$C$22)/$C$21)-1))&gt;0,$C$30*(1-$C$28*(EXP((A82-$C$22)/$C$21)-1)),0))</f>
        <v>0</v>
      </c>
      <c r="G82" s="75">
        <f>IF(A82&lt;=$C$22,($C$5-$C$8)*(F82/$C$12)^(1/$C$11)+$C$8, ($C$29-$C$8)*(F82/$C$30)^(1/$C$11)+$C$8)</f>
        <v>0</v>
      </c>
      <c r="H82" s="162">
        <f t="shared" si="3"/>
        <v>39619.439845076064</v>
      </c>
      <c r="I82" s="162">
        <f t="shared" si="4"/>
        <v>43380.560154923936</v>
      </c>
      <c r="Y82" s="76"/>
    </row>
    <row r="83" spans="1:25" x14ac:dyDescent="0.25">
      <c r="A83" s="108">
        <f t="shared" si="5"/>
        <v>41000</v>
      </c>
      <c r="B83" s="65">
        <f t="shared" si="2"/>
        <v>42500</v>
      </c>
      <c r="C83" s="77"/>
      <c r="D83" s="72"/>
      <c r="E83" s="73">
        <f t="shared" si="0"/>
        <v>60.842043828311333</v>
      </c>
      <c r="F83" s="74">
        <f>IF(A83&lt;=$C$22,IF($C$12*(1-$C$26*(EXP(A83/$C$20)-1))&gt;0,$C$12*(1-$C$26*(EXP(A83/$C$20)-1)),0),IF($C$30*(1-$C$28*(EXP((A83-$C$22)/$C$21)-1))&gt;0,$C$30*(1-$C$28*(EXP((A83-$C$22)/$C$21)-1)),0))</f>
        <v>0</v>
      </c>
      <c r="G83" s="75">
        <f>IF(A83&lt;=$C$22,($C$5-$C$8)*(F83/$C$12)^(1/$C$11)+$C$8, ($C$29-$C$8)*(F83/$C$30)^(1/$C$11)+$C$8)</f>
        <v>0</v>
      </c>
      <c r="H83" s="162">
        <f t="shared" si="3"/>
        <v>40681.091940232633</v>
      </c>
      <c r="I83" s="162">
        <f t="shared" si="4"/>
        <v>44318.908059767367</v>
      </c>
      <c r="Y83" s="76"/>
    </row>
    <row r="84" spans="1:25" x14ac:dyDescent="0.25">
      <c r="A84" s="108">
        <f t="shared" si="5"/>
        <v>42000</v>
      </c>
      <c r="B84" s="65">
        <f t="shared" si="2"/>
        <v>43500</v>
      </c>
      <c r="C84" s="77"/>
      <c r="D84" s="72"/>
      <c r="E84" s="73">
        <f t="shared" si="0"/>
        <v>56.732712839826199</v>
      </c>
      <c r="F84" s="74">
        <f>IF(A84&lt;=$C$22,IF($C$12*(1-$C$26*(EXP(A84/$C$20)-1))&gt;0,$C$12*(1-$C$26*(EXP(A84/$C$20)-1)),0),IF($C$30*(1-$C$28*(EXP((A84-$C$22)/$C$21)-1))&gt;0,$C$30*(1-$C$28*(EXP((A84-$C$22)/$C$21)-1)),0))</f>
        <v>0</v>
      </c>
      <c r="G84" s="75">
        <f>IF(A84&lt;=$C$22,($C$5-$C$8)*(F84/$C$12)^(1/$C$11)+$C$8, ($C$29-$C$8)*(F84/$C$30)^(1/$C$11)+$C$8)</f>
        <v>0</v>
      </c>
      <c r="H84" s="162">
        <f t="shared" si="3"/>
        <v>41740.722839296519</v>
      </c>
      <c r="I84" s="162">
        <f t="shared" si="4"/>
        <v>45259.277160703481</v>
      </c>
      <c r="T84" s="76"/>
      <c r="U84" s="76"/>
      <c r="V84" s="76"/>
      <c r="W84" s="76"/>
      <c r="X84" s="76"/>
    </row>
    <row r="85" spans="1:25" x14ac:dyDescent="0.25">
      <c r="A85" s="108">
        <f t="shared" si="5"/>
        <v>43000</v>
      </c>
      <c r="B85" s="65">
        <f t="shared" si="2"/>
        <v>44500</v>
      </c>
      <c r="C85" s="77"/>
      <c r="D85" s="72"/>
      <c r="E85" s="73">
        <f t="shared" si="0"/>
        <v>52.900930074746839</v>
      </c>
      <c r="F85" s="74">
        <f>IF(A85&lt;=$C$22,IF($C$12*(1-$C$26*(EXP(A85/$C$20)-1))&gt;0,$C$12*(1-$C$26*(EXP(A85/$C$20)-1)),0),IF($C$30*(1-$C$28*(EXP((A85-$C$22)/$C$21)-1))&gt;0,$C$30*(1-$C$28*(EXP((A85-$C$22)/$C$21)-1)),0))</f>
        <v>0</v>
      </c>
      <c r="G85" s="75">
        <f>IF(A85&lt;=$C$22,($C$5-$C$8)*(F85/$C$12)^(1/$C$11)+$C$8, ($C$29-$C$8)*(F85/$C$30)^(1/$C$11)+$C$8)</f>
        <v>0</v>
      </c>
      <c r="H85" s="162">
        <f t="shared" si="3"/>
        <v>42798.398804957324</v>
      </c>
      <c r="I85" s="162">
        <f t="shared" si="4"/>
        <v>46201.601195042676</v>
      </c>
      <c r="T85" s="76"/>
      <c r="U85" s="76"/>
      <c r="V85" s="76"/>
      <c r="W85" s="76"/>
      <c r="X85" s="76"/>
    </row>
    <row r="86" spans="1:25" x14ac:dyDescent="0.25">
      <c r="A86" s="108">
        <f t="shared" si="5"/>
        <v>44000</v>
      </c>
      <c r="B86" s="65">
        <f t="shared" si="2"/>
        <v>45500</v>
      </c>
      <c r="C86" s="77"/>
      <c r="D86" s="72"/>
      <c r="E86" s="73">
        <f t="shared" si="0"/>
        <v>49.327949655330244</v>
      </c>
      <c r="F86" s="74">
        <f>IF(A86&lt;=$C$22,IF($C$12*(1-$C$26*(EXP(A86/$C$20)-1))&gt;0,$C$12*(1-$C$26*(EXP(A86/$C$20)-1)),0),IF($C$30*(1-$C$28*(EXP((A86-$C$22)/$C$21)-1))&gt;0,$C$30*(1-$C$28*(EXP((A86-$C$22)/$C$21)-1)),0))</f>
        <v>0</v>
      </c>
      <c r="G86" s="75">
        <f>IF(A86&lt;=$C$22,($C$5-$C$8)*(F86/$C$12)^(1/$C$11)+$C$8, ($C$29-$C$8)*(F86/$C$30)^(1/$C$11)+$C$8)</f>
        <v>0</v>
      </c>
      <c r="H86" s="162">
        <f t="shared" si="3"/>
        <v>43854.183927555299</v>
      </c>
      <c r="I86" s="162">
        <f t="shared" si="4"/>
        <v>47145.816072444701</v>
      </c>
      <c r="T86" s="76"/>
      <c r="U86" s="76"/>
      <c r="V86" s="76"/>
      <c r="W86" s="76"/>
      <c r="X86" s="76"/>
    </row>
    <row r="87" spans="1:25" x14ac:dyDescent="0.25">
      <c r="A87" s="108">
        <f t="shared" si="5"/>
        <v>45000</v>
      </c>
      <c r="B87" s="65">
        <f t="shared" si="2"/>
        <v>46500</v>
      </c>
      <c r="C87" s="77"/>
      <c r="D87" s="72"/>
      <c r="E87" s="73">
        <f t="shared" si="0"/>
        <v>45.996291818701842</v>
      </c>
      <c r="F87" s="74">
        <f>IF(A87&lt;=$C$22,IF($C$12*(1-$C$26*(EXP(A87/$C$20)-1))&gt;0,$C$12*(1-$C$26*(EXP(A87/$C$20)-1)),0),IF($C$30*(1-$C$28*(EXP((A87-$C$22)/$C$21)-1))&gt;0,$C$30*(1-$C$28*(EXP((A87-$C$22)/$C$21)-1)),0))</f>
        <v>0</v>
      </c>
      <c r="G87" s="75">
        <f>IF(A87&lt;=$C$22,($C$5-$C$8)*(F87/$C$12)^(1/$C$11)+$C$8, ($C$29-$C$8)*(F87/$C$30)^(1/$C$11)+$C$8)</f>
        <v>0</v>
      </c>
      <c r="H87" s="162">
        <f t="shared" si="3"/>
        <v>44908.140196299428</v>
      </c>
      <c r="I87" s="162">
        <f t="shared" si="4"/>
        <v>48091.859803700572</v>
      </c>
      <c r="T87" s="76"/>
      <c r="U87" s="76"/>
      <c r="V87" s="76"/>
      <c r="W87" s="76"/>
      <c r="X87" s="76"/>
    </row>
    <row r="88" spans="1:25" x14ac:dyDescent="0.25">
      <c r="A88" s="108">
        <f t="shared" si="5"/>
        <v>46000</v>
      </c>
      <c r="B88" s="65">
        <f t="shared" si="2"/>
        <v>47500</v>
      </c>
      <c r="C88" s="77"/>
      <c r="D88" s="72"/>
      <c r="E88" s="73">
        <f t="shared" si="0"/>
        <v>42.889657402222163</v>
      </c>
      <c r="F88" s="74">
        <f>IF(A88&lt;=$C$22,IF($C$12*(1-$C$26*(EXP(A88/$C$20)-1))&gt;0,$C$12*(1-$C$26*(EXP(A88/$C$20)-1)),0),IF($C$30*(1-$C$28*(EXP((A88-$C$22)/$C$21)-1))&gt;0,$C$30*(1-$C$28*(EXP((A88-$C$22)/$C$21)-1)),0))</f>
        <v>0</v>
      </c>
      <c r="G88" s="75">
        <f>IF(A88&lt;=$C$22,($C$5-$C$8)*(F88/$C$12)^(1/$C$11)+$C$8, ($C$29-$C$8)*(F88/$C$30)^(1/$C$11)+$C$8)</f>
        <v>0</v>
      </c>
      <c r="H88" s="162">
        <f t="shared" si="3"/>
        <v>45960.327568150678</v>
      </c>
      <c r="I88" s="162">
        <f t="shared" si="4"/>
        <v>49039.672431849322</v>
      </c>
      <c r="T88" s="76"/>
      <c r="U88" s="76"/>
      <c r="V88" s="76"/>
      <c r="W88" s="76"/>
      <c r="X88" s="76"/>
    </row>
    <row r="89" spans="1:25" x14ac:dyDescent="0.25">
      <c r="A89" s="108">
        <f t="shared" si="5"/>
        <v>47000</v>
      </c>
      <c r="B89" s="65">
        <f t="shared" si="2"/>
        <v>48500</v>
      </c>
      <c r="C89" s="77"/>
      <c r="D89" s="72"/>
      <c r="E89" s="73">
        <f t="shared" si="0"/>
        <v>39.992848104595474</v>
      </c>
      <c r="F89" s="74">
        <f>IF(A89&lt;=$C$22,IF($C$12*(1-$C$26*(EXP(A89/$C$20)-1))&gt;0,$C$12*(1-$C$26*(EXP(A89/$C$20)-1)),0),IF($C$30*(1-$C$28*(EXP((A89-$C$22)/$C$21)-1))&gt;0,$C$30*(1-$C$28*(EXP((A89-$C$22)/$C$21)-1)),0))</f>
        <v>0</v>
      </c>
      <c r="G89" s="75">
        <f>IF(A89&lt;=$C$22,($C$5-$C$8)*(F89/$C$12)^(1/$C$11)+$C$8, ($C$29-$C$8)*(F89/$C$30)^(1/$C$11)+$C$8)</f>
        <v>0</v>
      </c>
      <c r="H89" s="162">
        <f t="shared" si="3"/>
        <v>47010.804034447057</v>
      </c>
      <c r="I89" s="162">
        <f t="shared" si="4"/>
        <v>49989.195965552943</v>
      </c>
      <c r="T89" s="76"/>
      <c r="U89" s="76"/>
      <c r="V89" s="76"/>
      <c r="W89" s="76"/>
      <c r="X89" s="76"/>
    </row>
    <row r="90" spans="1:25" x14ac:dyDescent="0.25">
      <c r="A90" s="108">
        <f t="shared" si="5"/>
        <v>48000</v>
      </c>
      <c r="B90" s="65">
        <f t="shared" si="2"/>
        <v>49500</v>
      </c>
      <c r="C90" s="77"/>
      <c r="D90" s="72"/>
      <c r="E90" s="73">
        <f t="shared" si="0"/>
        <v>37.291692132620717</v>
      </c>
      <c r="F90" s="74">
        <f>IF(A90&lt;=$C$22,IF($C$12*(1-$C$26*(EXP(A90/$C$20)-1))&gt;0,$C$12*(1-$C$26*(EXP(A90/$C$20)-1)),0),IF($C$30*(1-$C$28*(EXP((A90-$C$22)/$C$21)-1))&gt;0,$C$30*(1-$C$28*(EXP((A90-$C$22)/$C$21)-1)),0))</f>
        <v>0</v>
      </c>
      <c r="G90" s="75">
        <f>IF(A90&lt;=$C$22,($C$5-$C$8)*(F90/$C$12)^(1/$C$11)+$C$8, ($C$29-$C$8)*(F90/$C$30)^(1/$C$11)+$C$8)</f>
        <v>0</v>
      </c>
      <c r="H90" s="162">
        <f t="shared" si="3"/>
        <v>48059.625685344341</v>
      </c>
      <c r="I90" s="162">
        <f t="shared" si="4"/>
        <v>50940.374314655659</v>
      </c>
      <c r="T90" s="76"/>
      <c r="U90" s="76"/>
      <c r="V90" s="76"/>
      <c r="W90" s="76"/>
      <c r="X90" s="76"/>
    </row>
    <row r="91" spans="1:25" x14ac:dyDescent="0.25">
      <c r="A91" s="108">
        <f t="shared" si="5"/>
        <v>49000</v>
      </c>
      <c r="B91" s="65">
        <f t="shared" si="2"/>
        <v>50500</v>
      </c>
      <c r="C91" s="77"/>
      <c r="D91" s="72"/>
      <c r="E91" s="73">
        <f t="shared" si="0"/>
        <v>34.772974869833476</v>
      </c>
      <c r="F91" s="74">
        <f>IF(A91&lt;=$C$22,IF($C$12*(1-$C$26*(EXP(A91/$C$20)-1))&gt;0,$C$12*(1-$C$26*(EXP(A91/$C$20)-1)),0),IF($C$30*(1-$C$28*(EXP((A91-$C$22)/$C$21)-1))&gt;0,$C$30*(1-$C$28*(EXP((A91-$C$22)/$C$21)-1)),0))</f>
        <v>0</v>
      </c>
      <c r="G91" s="75">
        <f>IF(A91&lt;=$C$22,($C$5-$C$8)*(F91/$C$12)^(1/$C$11)+$C$8, ($C$29-$C$8)*(F91/$C$30)^(1/$C$11)+$C$8)</f>
        <v>0</v>
      </c>
      <c r="H91" s="162">
        <f t="shared" si="3"/>
        <v>49106.846772144316</v>
      </c>
      <c r="I91" s="162">
        <f t="shared" si="4"/>
        <v>51893.153227855684</v>
      </c>
      <c r="T91" s="76"/>
      <c r="U91" s="76"/>
      <c r="V91" s="76"/>
      <c r="W91" s="76"/>
      <c r="X91" s="76"/>
    </row>
    <row r="92" spans="1:25" x14ac:dyDescent="0.25">
      <c r="A92" s="108">
        <f t="shared" si="5"/>
        <v>50000</v>
      </c>
      <c r="B92" s="65">
        <f t="shared" si="2"/>
        <v>51500</v>
      </c>
      <c r="C92" s="77"/>
      <c r="D92" s="72"/>
      <c r="E92" s="73">
        <f t="shared" si="0"/>
        <v>32.424374227855537</v>
      </c>
      <c r="F92" s="74">
        <f>IF(A92&lt;=$C$22,IF($C$12*(1-$C$26*(EXP(A92/$C$20)-1))&gt;0,$C$12*(1-$C$26*(EXP(A92/$C$20)-1)),0),IF($C$30*(1-$C$28*(EXP((A92-$C$22)/$C$21)-1))&gt;0,$C$30*(1-$C$28*(EXP((A92-$C$22)/$C$21)-1)),0))</f>
        <v>0</v>
      </c>
      <c r="G92" s="75">
        <f>IF(A92&lt;=$C$22,($C$5-$C$8)*(F92/$C$12)^(1/$C$11)+$C$8, ($C$29-$C$8)*(F92/$C$30)^(1/$C$11)+$C$8)</f>
        <v>0</v>
      </c>
      <c r="H92" s="162">
        <f t="shared" si="3"/>
        <v>50152.519767579506</v>
      </c>
      <c r="I92" s="162">
        <f t="shared" si="4"/>
        <v>52847.480232420494</v>
      </c>
      <c r="T92" s="76"/>
      <c r="U92" s="76"/>
      <c r="V92" s="76"/>
      <c r="W92" s="76"/>
      <c r="X92" s="76"/>
    </row>
    <row r="93" spans="1:25" x14ac:dyDescent="0.25">
      <c r="A93" s="108">
        <f t="shared" si="5"/>
        <v>51000</v>
      </c>
      <c r="B93" s="65">
        <f t="shared" si="2"/>
        <v>52500</v>
      </c>
      <c r="C93" s="77"/>
      <c r="D93" s="72"/>
      <c r="E93" s="73">
        <f t="shared" si="0"/>
        <v>30.234400364177343</v>
      </c>
      <c r="F93" s="74">
        <f>IF(A93&lt;=$C$22,IF($C$12*(1-$C$26*(EXP(A93/$C$20)-1))&gt;0,$C$12*(1-$C$26*(EXP(A93/$C$20)-1)),0),IF($C$30*(1-$C$28*(EXP((A93-$C$22)/$C$21)-1))&gt;0,$C$30*(1-$C$28*(EXP((A93-$C$22)/$C$21)-1)),0))</f>
        <v>0</v>
      </c>
      <c r="G93" s="75">
        <f>IF(A93&lt;=$C$22,($C$5-$C$8)*(F93/$C$12)^(1/$C$11)+$C$8, ($C$29-$C$8)*(F93/$C$30)^(1/$C$11)+$C$8)</f>
        <v>0</v>
      </c>
      <c r="H93" s="162">
        <f t="shared" si="3"/>
        <v>51196.695424121659</v>
      </c>
      <c r="I93" s="162">
        <f t="shared" si="4"/>
        <v>53803.304575878341</v>
      </c>
      <c r="T93" s="76"/>
      <c r="U93" s="76"/>
      <c r="V93" s="76"/>
      <c r="W93" s="76"/>
      <c r="X93" s="76"/>
    </row>
    <row r="94" spans="1:25" x14ac:dyDescent="0.25">
      <c r="A94" s="108">
        <f t="shared" si="5"/>
        <v>52000</v>
      </c>
      <c r="B94" s="65">
        <f t="shared" si="2"/>
        <v>53500</v>
      </c>
      <c r="C94" s="77"/>
      <c r="D94" s="72"/>
      <c r="E94" s="73">
        <f t="shared" si="0"/>
        <v>28.192339471460144</v>
      </c>
      <c r="F94" s="74">
        <f>IF(A94&lt;=$C$22,IF($C$12*(1-$C$26*(EXP(A94/$C$20)-1))&gt;0,$C$12*(1-$C$26*(EXP(A94/$C$20)-1)),0),IF($C$30*(1-$C$28*(EXP((A94-$C$22)/$C$21)-1))&gt;0,$C$30*(1-$C$28*(EXP((A94-$C$22)/$C$21)-1)),0))</f>
        <v>0</v>
      </c>
      <c r="G94" s="75">
        <f>IF(A94&lt;=$C$22,($C$5-$C$8)*(F94/$C$12)^(1/$C$11)+$C$8, ($C$29-$C$8)*(F94/$C$30)^(1/$C$11)+$C$8)</f>
        <v>0</v>
      </c>
      <c r="H94" s="162">
        <f t="shared" si="3"/>
        <v>52239.4228303786</v>
      </c>
      <c r="I94" s="162">
        <f t="shared" si="4"/>
        <v>54760.5771696214</v>
      </c>
      <c r="T94" s="76"/>
      <c r="U94" s="76"/>
      <c r="V94" s="76"/>
      <c r="W94" s="76"/>
      <c r="X94" s="76"/>
    </row>
    <row r="95" spans="1:25" x14ac:dyDescent="0.25">
      <c r="A95" s="108">
        <f t="shared" si="5"/>
        <v>53000</v>
      </c>
      <c r="B95" s="65">
        <f t="shared" si="2"/>
        <v>54500</v>
      </c>
      <c r="C95" s="77"/>
      <c r="D95" s="72"/>
      <c r="E95" s="73">
        <f t="shared" si="0"/>
        <v>26.288201363363665</v>
      </c>
      <c r="F95" s="74">
        <f>IF(A95&lt;=$C$22,IF($C$12*(1-$C$26*(EXP(A95/$C$20)-1))&gt;0,$C$12*(1-$C$26*(EXP(A95/$C$20)-1)),0),IF($C$30*(1-$C$28*(EXP((A95-$C$22)/$C$21)-1))&gt;0,$C$30*(1-$C$28*(EXP((A95-$C$22)/$C$21)-1)),0))</f>
        <v>0</v>
      </c>
      <c r="G95" s="75">
        <f>IF(A95&lt;=$C$22,($C$5-$C$8)*(F95/$C$12)^(1/$C$11)+$C$8, ($C$29-$C$8)*(F95/$C$30)^(1/$C$11)+$C$8)</f>
        <v>0</v>
      </c>
      <c r="H95" s="162">
        <f t="shared" si="3"/>
        <v>53280.749465642148</v>
      </c>
      <c r="I95" s="162">
        <f t="shared" si="4"/>
        <v>55719.250534357852</v>
      </c>
      <c r="T95" s="76"/>
      <c r="U95" s="76"/>
      <c r="V95" s="76"/>
      <c r="W95" s="76"/>
      <c r="X95" s="76"/>
    </row>
    <row r="96" spans="1:25" x14ac:dyDescent="0.25">
      <c r="A96" s="108">
        <f t="shared" si="5"/>
        <v>54000</v>
      </c>
      <c r="B96" s="65">
        <f t="shared" si="2"/>
        <v>55500</v>
      </c>
      <c r="C96" s="77"/>
      <c r="D96" s="72"/>
      <c r="E96" s="73">
        <f t="shared" si="0"/>
        <v>24.512670600477954</v>
      </c>
      <c r="F96" s="74">
        <f>IF(A96&lt;=$C$22,IF($C$12*(1-$C$26*(EXP(A96/$C$20)-1))&gt;0,$C$12*(1-$C$26*(EXP(A96/$C$20)-1)),0),IF($C$30*(1-$C$28*(EXP((A96-$C$22)/$C$21)-1))&gt;0,$C$30*(1-$C$28*(EXP((A96-$C$22)/$C$21)-1)),0))</f>
        <v>0</v>
      </c>
      <c r="G96" s="75">
        <f>IF(A96&lt;=$C$22,($C$5-$C$8)*(F96/$C$12)^(1/$C$11)+$C$8, ($C$29-$C$8)*(F96/$C$30)^(1/$C$11)+$C$8)</f>
        <v>0</v>
      </c>
      <c r="H96" s="162">
        <f t="shared" si="3"/>
        <v>54320.721252647796</v>
      </c>
      <c r="I96" s="162">
        <f t="shared" si="4"/>
        <v>56679.278747352204</v>
      </c>
      <c r="T96" s="76"/>
      <c r="U96" s="76"/>
      <c r="V96" s="76"/>
      <c r="W96" s="76"/>
      <c r="X96" s="76"/>
    </row>
    <row r="97" spans="1:24" x14ac:dyDescent="0.25">
      <c r="A97" s="108">
        <f t="shared" si="5"/>
        <v>55000</v>
      </c>
      <c r="B97" s="65">
        <f t="shared" si="2"/>
        <v>56500</v>
      </c>
      <c r="C97" s="77"/>
      <c r="D97" s="72"/>
      <c r="E97" s="73">
        <f t="shared" ref="E97:E160" si="6">IF(A97&lt;=$C$22,$C$18*EXP(-A97/$C$20),$C$19*EXP(-(A97-$C$22)/$C$21))</f>
        <v>22.857060917257545</v>
      </c>
      <c r="F97" s="74">
        <f>IF(A97&lt;=$C$22,IF($C$12*(1-$C$26*(EXP(A97/$C$20)-1))&gt;0,$C$12*(1-$C$26*(EXP(A97/$C$20)-1)),0),IF($C$30*(1-$C$28*(EXP((A97-$C$22)/$C$21)-1))&gt;0,$C$30*(1-$C$28*(EXP((A97-$C$22)/$C$21)-1)),0))</f>
        <v>0</v>
      </c>
      <c r="G97" s="75">
        <f>IF(A97&lt;=$C$22,($C$5-$C$8)*(F97/$C$12)^(1/$C$11)+$C$8, ($C$29-$C$8)*(F97/$C$30)^(1/$C$11)+$C$8)</f>
        <v>0</v>
      </c>
      <c r="H97" s="162">
        <f t="shared" si="3"/>
        <v>55359.38260860469</v>
      </c>
      <c r="I97" s="162">
        <f t="shared" si="4"/>
        <v>57640.61739139531</v>
      </c>
      <c r="T97" s="76"/>
      <c r="U97" s="76"/>
      <c r="V97" s="76"/>
      <c r="W97" s="76"/>
      <c r="X97" s="76"/>
    </row>
    <row r="98" spans="1:24" x14ac:dyDescent="0.25">
      <c r="A98" s="108">
        <f t="shared" si="5"/>
        <v>56000</v>
      </c>
      <c r="B98" s="65">
        <f t="shared" ref="B98:B161" si="7">A98+1500</f>
        <v>57500</v>
      </c>
      <c r="C98" s="77"/>
      <c r="D98" s="72"/>
      <c r="E98" s="73">
        <f t="shared" si="6"/>
        <v>21.313272727004932</v>
      </c>
      <c r="F98" s="74">
        <f>IF(A98&lt;=$C$22,IF($C$12*(1-$C$26*(EXP(A98/$C$20)-1))&gt;0,$C$12*(1-$C$26*(EXP(A98/$C$20)-1)),0),IF($C$30*(1-$C$28*(EXP((A98-$C$22)/$C$21)-1))&gt;0,$C$30*(1-$C$28*(EXP((A98-$C$22)/$C$21)-1)),0))</f>
        <v>0</v>
      </c>
      <c r="G98" s="75">
        <f>IF(A98&lt;=$C$22,($C$5-$C$8)*(F98/$C$12)^(1/$C$11)+$C$8, ($C$29-$C$8)*(F98/$C$30)^(1/$C$11)+$C$8)</f>
        <v>0</v>
      </c>
      <c r="H98" s="162">
        <f t="shared" ref="H98:H161" si="8">IF($C$15=0,B98-$C$6/2, B98-$C$6*EXP(-B98/$C$15)/2)</f>
        <v>56396.776494552672</v>
      </c>
      <c r="I98" s="162">
        <f t="shared" ref="I98:I161" si="9">IF($C$15=0,B98+$C$6/2, B98+$C$6*EXP(-B98/$C$15)/2)</f>
        <v>58603.223505447328</v>
      </c>
      <c r="T98" s="76"/>
      <c r="U98" s="76"/>
      <c r="V98" s="76"/>
      <c r="W98" s="76"/>
      <c r="X98" s="76"/>
    </row>
    <row r="99" spans="1:24" x14ac:dyDescent="0.25">
      <c r="A99" s="108">
        <f t="shared" si="5"/>
        <v>57000</v>
      </c>
      <c r="B99" s="65">
        <f t="shared" si="7"/>
        <v>58500</v>
      </c>
      <c r="C99" s="77"/>
      <c r="D99" s="72"/>
      <c r="E99" s="73">
        <f t="shared" si="6"/>
        <v>19.873753497008892</v>
      </c>
      <c r="F99" s="74">
        <f>IF(A99&lt;=$C$22,IF($C$12*(1-$C$26*(EXP(A99/$C$20)-1))&gt;0,$C$12*(1-$C$26*(EXP(A99/$C$20)-1)),0),IF($C$30*(1-$C$28*(EXP((A99-$C$22)/$C$21)-1))&gt;0,$C$30*(1-$C$28*(EXP((A99-$C$22)/$C$21)-1)),0))</f>
        <v>0</v>
      </c>
      <c r="G99" s="75">
        <f>IF(A99&lt;=$C$22,($C$5-$C$8)*(F99/$C$12)^(1/$C$11)+$C$8, ($C$29-$C$8)*(F99/$C$30)^(1/$C$11)+$C$8)</f>
        <v>0</v>
      </c>
      <c r="H99" s="162">
        <f t="shared" si="8"/>
        <v>57432.94446310115</v>
      </c>
      <c r="I99" s="162">
        <f t="shared" si="9"/>
        <v>59567.05553689885</v>
      </c>
      <c r="T99" s="76"/>
      <c r="U99" s="76"/>
      <c r="V99" s="76"/>
      <c r="W99" s="76"/>
      <c r="X99" s="76"/>
    </row>
    <row r="100" spans="1:24" x14ac:dyDescent="0.25">
      <c r="A100" s="108">
        <f t="shared" si="5"/>
        <v>58000</v>
      </c>
      <c r="B100" s="65">
        <f t="shared" si="7"/>
        <v>59500</v>
      </c>
      <c r="C100" s="77"/>
      <c r="D100" s="72"/>
      <c r="E100" s="73">
        <f t="shared" si="6"/>
        <v>18.531460799984615</v>
      </c>
      <c r="F100" s="74">
        <f>IF(A100&lt;=$C$22,IF($C$12*(1-$C$26*(EXP(A100/$C$20)-1))&gt;0,$C$12*(1-$C$26*(EXP(A100/$C$20)-1)),0),IF($C$30*(1-$C$28*(EXP((A100-$C$22)/$C$21)-1))&gt;0,$C$30*(1-$C$28*(EXP((A100-$C$22)/$C$21)-1)),0))</f>
        <v>0</v>
      </c>
      <c r="G100" s="75">
        <f>IF(A100&lt;=$C$22,($C$5-$C$8)*(F100/$C$12)^(1/$C$11)+$C$8, ($C$29-$C$8)*(F100/$C$30)^(1/$C$11)+$C$8)</f>
        <v>0</v>
      </c>
      <c r="H100" s="162">
        <f t="shared" si="8"/>
        <v>58467.926704602956</v>
      </c>
      <c r="I100" s="162">
        <f t="shared" si="9"/>
        <v>60532.073295397044</v>
      </c>
      <c r="T100" s="76"/>
      <c r="U100" s="76"/>
      <c r="V100" s="76"/>
      <c r="W100" s="76"/>
      <c r="X100" s="76"/>
    </row>
    <row r="101" spans="1:24" x14ac:dyDescent="0.25">
      <c r="A101" s="108">
        <f t="shared" si="5"/>
        <v>59000</v>
      </c>
      <c r="B101" s="65">
        <f t="shared" si="7"/>
        <v>60500</v>
      </c>
      <c r="C101" s="77"/>
      <c r="D101" s="72"/>
      <c r="E101" s="73">
        <f t="shared" si="6"/>
        <v>17.279827861055644</v>
      </c>
      <c r="F101" s="74">
        <f>IF(A101&lt;=$C$22,IF($C$12*(1-$C$26*(EXP(A101/$C$20)-1))&gt;0,$C$12*(1-$C$26*(EXP(A101/$C$20)-1)),0),IF($C$30*(1-$C$28*(EXP((A101-$C$22)/$C$21)-1))&gt;0,$C$30*(1-$C$28*(EXP((A101-$C$22)/$C$21)-1)),0))</f>
        <v>0</v>
      </c>
      <c r="G101" s="75">
        <f>IF(A101&lt;=$C$22,($C$5-$C$8)*(F101/$C$12)^(1/$C$11)+$C$8, ($C$29-$C$8)*(F101/$C$30)^(1/$C$11)+$C$8)</f>
        <v>0</v>
      </c>
      <c r="H101" s="162">
        <f t="shared" si="8"/>
        <v>59501.76209181446</v>
      </c>
      <c r="I101" s="162">
        <f t="shared" si="9"/>
        <v>61498.23790818554</v>
      </c>
      <c r="T101" s="76"/>
      <c r="U101" s="76"/>
      <c r="V101" s="76"/>
      <c r="W101" s="76"/>
      <c r="X101" s="76"/>
    </row>
    <row r="102" spans="1:24" x14ac:dyDescent="0.25">
      <c r="A102" s="108">
        <f t="shared" si="5"/>
        <v>60000</v>
      </c>
      <c r="B102" s="65">
        <f t="shared" si="7"/>
        <v>61500</v>
      </c>
      <c r="C102" s="77"/>
      <c r="D102" s="72"/>
      <c r="E102" s="73">
        <f t="shared" si="6"/>
        <v>16.112731431726246</v>
      </c>
      <c r="F102" s="74">
        <f>IF(A102&lt;=$C$22,IF($C$12*(1-$C$26*(EXP(A102/$C$20)-1))&gt;0,$C$12*(1-$C$26*(EXP(A102/$C$20)-1)),0),IF($C$30*(1-$C$28*(EXP((A102-$C$22)/$C$21)-1))&gt;0,$C$30*(1-$C$28*(EXP((A102-$C$22)/$C$21)-1)),0))</f>
        <v>0</v>
      </c>
      <c r="G102" s="75">
        <f>IF(A102&lt;=$C$22,($C$5-$C$8)*(F102/$C$12)^(1/$C$11)+$C$8, ($C$29-$C$8)*(F102/$C$30)^(1/$C$11)+$C$8)</f>
        <v>0</v>
      </c>
      <c r="H102" s="162">
        <f t="shared" si="8"/>
        <v>60534.488223091466</v>
      </c>
      <c r="I102" s="162">
        <f t="shared" si="9"/>
        <v>62465.511776908534</v>
      </c>
      <c r="T102" s="76"/>
      <c r="U102" s="76"/>
      <c r="V102" s="76"/>
      <c r="W102" s="76"/>
      <c r="X102" s="76"/>
    </row>
    <row r="103" spans="1:24" x14ac:dyDescent="0.25">
      <c r="A103" s="108">
        <f t="shared" si="5"/>
        <v>61000</v>
      </c>
      <c r="B103" s="65">
        <f t="shared" si="7"/>
        <v>62500</v>
      </c>
      <c r="C103" s="77"/>
      <c r="D103" s="72"/>
      <c r="E103" s="73">
        <f t="shared" si="6"/>
        <v>15.024461833676998</v>
      </c>
      <c r="F103" s="74">
        <f>IF(A103&lt;=$C$22,IF($C$12*(1-$C$26*(EXP(A103/$C$20)-1))&gt;0,$C$12*(1-$C$26*(EXP(A103/$C$20)-1)),0),IF($C$30*(1-$C$28*(EXP((A103-$C$22)/$C$21)-1))&gt;0,$C$30*(1-$C$28*(EXP((A103-$C$22)/$C$21)-1)),0))</f>
        <v>0</v>
      </c>
      <c r="G103" s="75">
        <f>IF(A103&lt;=$C$22,($C$5-$C$8)*(F103/$C$12)^(1/$C$11)+$C$8, ($C$29-$C$8)*(F103/$C$30)^(1/$C$11)+$C$8)</f>
        <v>0</v>
      </c>
      <c r="H103" s="162">
        <f t="shared" si="8"/>
        <v>61566.141464169079</v>
      </c>
      <c r="I103" s="162">
        <f t="shared" si="9"/>
        <v>63433.858535830921</v>
      </c>
      <c r="T103" s="76"/>
      <c r="U103" s="76"/>
      <c r="V103" s="76"/>
      <c r="W103" s="76"/>
      <c r="X103" s="76"/>
    </row>
    <row r="104" spans="1:24" x14ac:dyDescent="0.25">
      <c r="A104" s="108">
        <f t="shared" si="5"/>
        <v>62000</v>
      </c>
      <c r="B104" s="65">
        <f t="shared" si="7"/>
        <v>63500</v>
      </c>
      <c r="C104" s="77"/>
      <c r="D104" s="72"/>
      <c r="E104" s="73">
        <f t="shared" si="6"/>
        <v>14.009695025831668</v>
      </c>
      <c r="F104" s="74">
        <f>IF(A104&lt;=$C$22,IF($C$12*(1-$C$26*(EXP(A104/$C$20)-1))&gt;0,$C$12*(1-$C$26*(EXP(A104/$C$20)-1)),0),IF($C$30*(1-$C$28*(EXP((A104-$C$22)/$C$21)-1))&gt;0,$C$30*(1-$C$28*(EXP((A104-$C$22)/$C$21)-1)),0))</f>
        <v>0</v>
      </c>
      <c r="G104" s="75">
        <f>IF(A104&lt;=$C$22,($C$5-$C$8)*(F104/$C$12)^(1/$C$11)+$C$8, ($C$29-$C$8)*(F104/$C$30)^(1/$C$11)+$C$8)</f>
        <v>0</v>
      </c>
      <c r="H104" s="162">
        <f t="shared" si="8"/>
        <v>62596.756988571782</v>
      </c>
      <c r="I104" s="162">
        <f t="shared" si="9"/>
        <v>64403.243011428218</v>
      </c>
      <c r="T104" s="76"/>
      <c r="U104" s="76"/>
      <c r="V104" s="76"/>
      <c r="W104" s="76"/>
      <c r="X104" s="76"/>
    </row>
    <row r="105" spans="1:24" x14ac:dyDescent="0.25">
      <c r="A105" s="108">
        <f t="shared" si="5"/>
        <v>63000</v>
      </c>
      <c r="B105" s="65">
        <f t="shared" si="7"/>
        <v>64500</v>
      </c>
      <c r="C105" s="77"/>
      <c r="D105" s="72"/>
      <c r="E105" s="73">
        <f t="shared" si="6"/>
        <v>13.06346655804165</v>
      </c>
      <c r="F105" s="74">
        <f>IF(A105&lt;=$C$22,IF($C$12*(1-$C$26*(EXP(A105/$C$20)-1))&gt;0,$C$12*(1-$C$26*(EXP(A105/$C$20)-1)),0),IF($C$30*(1-$C$28*(EXP((A105-$C$22)/$C$21)-1))&gt;0,$C$30*(1-$C$28*(EXP((A105-$C$22)/$C$21)-1)),0))</f>
        <v>0</v>
      </c>
      <c r="G105" s="75">
        <f>IF(A105&lt;=$C$22,($C$5-$C$8)*(F105/$C$12)^(1/$C$11)+$C$8, ($C$29-$C$8)*(F105/$C$30)^(1/$C$11)+$C$8)</f>
        <v>0</v>
      </c>
      <c r="H105" s="162">
        <f t="shared" si="8"/>
        <v>63626.36881669877</v>
      </c>
      <c r="I105" s="162">
        <f t="shared" si="9"/>
        <v>65373.63118330123</v>
      </c>
      <c r="T105" s="76"/>
      <c r="U105" s="76"/>
      <c r="V105" s="76"/>
      <c r="W105" s="76"/>
      <c r="X105" s="76"/>
    </row>
    <row r="106" spans="1:24" x14ac:dyDescent="0.25">
      <c r="A106" s="108">
        <f t="shared" si="5"/>
        <v>64000</v>
      </c>
      <c r="B106" s="65">
        <f t="shared" si="7"/>
        <v>65500</v>
      </c>
      <c r="C106" s="77"/>
      <c r="D106" s="72"/>
      <c r="E106" s="73">
        <f t="shared" si="6"/>
        <v>12.18114728396394</v>
      </c>
      <c r="F106" s="74">
        <f>IF(A106&lt;=$C$22,IF($C$12*(1-$C$26*(EXP(A106/$C$20)-1))&gt;0,$C$12*(1-$C$26*(EXP(A106/$C$20)-1)),0),IF($C$30*(1-$C$28*(EXP((A106-$C$22)/$C$21)-1))&gt;0,$C$30*(1-$C$28*(EXP((A106-$C$22)/$C$21)-1)),0))</f>
        <v>0</v>
      </c>
      <c r="G106" s="75">
        <f>IF(A106&lt;=$C$22,($C$5-$C$8)*(F106/$C$12)^(1/$C$11)+$C$8, ($C$29-$C$8)*(F106/$C$30)^(1/$C$11)+$C$8)</f>
        <v>0</v>
      </c>
      <c r="H106" s="162">
        <f t="shared" si="8"/>
        <v>64655.009853627904</v>
      </c>
      <c r="I106" s="162">
        <f t="shared" si="9"/>
        <v>66344.990146372089</v>
      </c>
      <c r="T106" s="76"/>
      <c r="U106" s="76"/>
      <c r="V106" s="76"/>
      <c r="W106" s="76"/>
      <c r="X106" s="76"/>
    </row>
    <row r="107" spans="1:24" x14ac:dyDescent="0.25">
      <c r="A107" s="108">
        <f t="shared" si="5"/>
        <v>65000</v>
      </c>
      <c r="B107" s="65">
        <f t="shared" si="7"/>
        <v>66500</v>
      </c>
      <c r="C107" s="77"/>
      <c r="D107" s="72"/>
      <c r="E107" s="73">
        <f t="shared" si="6"/>
        <v>11.35842071431504</v>
      </c>
      <c r="F107" s="74">
        <f>IF(A107&lt;=$C$22,IF($C$12*(1-$C$26*(EXP(A107/$C$20)-1))&gt;0,$C$12*(1-$C$26*(EXP(A107/$C$20)-1)),0),IF($C$30*(1-$C$28*(EXP((A107-$C$22)/$C$21)-1))&gt;0,$C$30*(1-$C$28*(EXP((A107-$C$22)/$C$21)-1)),0))</f>
        <v>0</v>
      </c>
      <c r="G107" s="75">
        <f>IF(A107&lt;=$C$22,($C$5-$C$8)*(F107/$C$12)^(1/$C$11)+$C$8, ($C$29-$C$8)*(F107/$C$30)^(1/$C$11)+$C$8)</f>
        <v>0</v>
      </c>
      <c r="H107" s="162">
        <f t="shared" si="8"/>
        <v>65682.711925680269</v>
      </c>
      <c r="I107" s="162">
        <f t="shared" si="9"/>
        <v>67317.288074319731</v>
      </c>
      <c r="T107" s="76"/>
      <c r="U107" s="76"/>
      <c r="V107" s="76"/>
      <c r="W107" s="76"/>
      <c r="X107" s="76"/>
    </row>
    <row r="108" spans="1:24" x14ac:dyDescent="0.25">
      <c r="A108" s="108">
        <f t="shared" si="5"/>
        <v>66000</v>
      </c>
      <c r="B108" s="65">
        <f t="shared" si="7"/>
        <v>67500</v>
      </c>
      <c r="C108" s="77"/>
      <c r="D108" s="72"/>
      <c r="E108" s="73">
        <f t="shared" si="6"/>
        <v>10.591261899708183</v>
      </c>
      <c r="F108" s="74">
        <f>IF(A108&lt;=$C$22,IF($C$12*(1-$C$26*(EXP(A108/$C$20)-1))&gt;0,$C$12*(1-$C$26*(EXP(A108/$C$20)-1)),0),IF($C$30*(1-$C$28*(EXP((A108-$C$22)/$C$21)-1))&gt;0,$C$30*(1-$C$28*(EXP((A108-$C$22)/$C$21)-1)),0))</f>
        <v>0</v>
      </c>
      <c r="G108" s="75">
        <f>IF(A108&lt;=$C$22,($C$5-$C$8)*(F108/$C$12)^(1/$C$11)+$C$8, ($C$29-$C$8)*(F108/$C$30)^(1/$C$11)+$C$8)</f>
        <v>0</v>
      </c>
      <c r="H108" s="162">
        <f t="shared" si="8"/>
        <v>66709.505815786019</v>
      </c>
      <c r="I108" s="162">
        <f t="shared" si="9"/>
        <v>68290.494184213981</v>
      </c>
      <c r="T108" s="76"/>
      <c r="U108" s="76"/>
      <c r="V108" s="76"/>
      <c r="W108" s="76"/>
      <c r="X108" s="76"/>
    </row>
    <row r="109" spans="1:24" x14ac:dyDescent="0.25">
      <c r="A109" s="108">
        <f t="shared" ref="A109:A168" si="10">A108+$C$4</f>
        <v>67000</v>
      </c>
      <c r="B109" s="65">
        <f t="shared" si="7"/>
        <v>68500</v>
      </c>
      <c r="C109" s="77"/>
      <c r="D109" s="72"/>
      <c r="E109" s="73">
        <f t="shared" si="6"/>
        <v>9.8759177397642919</v>
      </c>
      <c r="F109" s="74">
        <f>IF(A109&lt;=$C$22,IF($C$12*(1-$C$26*(EXP(A109/$C$20)-1))&gt;0,$C$12*(1-$C$26*(EXP(A109/$C$20)-1)),0),IF($C$30*(1-$C$28*(EXP((A109-$C$22)/$C$21)-1))&gt;0,$C$30*(1-$C$28*(EXP((A109-$C$22)/$C$21)-1)),0))</f>
        <v>0</v>
      </c>
      <c r="G109" s="75">
        <f>IF(A109&lt;=$C$22,($C$5-$C$8)*(F109/$C$12)^(1/$C$11)+$C$8, ($C$29-$C$8)*(F109/$C$30)^(1/$C$11)+$C$8)</f>
        <v>0</v>
      </c>
      <c r="H109" s="162">
        <f t="shared" si="8"/>
        <v>67735.421297690846</v>
      </c>
      <c r="I109" s="162">
        <f t="shared" si="9"/>
        <v>69264.578702309154</v>
      </c>
      <c r="T109" s="76"/>
      <c r="U109" s="76"/>
      <c r="V109" s="76"/>
      <c r="W109" s="76"/>
      <c r="X109" s="76"/>
    </row>
    <row r="110" spans="1:24" x14ac:dyDescent="0.25">
      <c r="A110" s="108">
        <f t="shared" si="10"/>
        <v>68000</v>
      </c>
      <c r="B110" s="65">
        <f t="shared" si="7"/>
        <v>69500</v>
      </c>
      <c r="C110" s="77"/>
      <c r="D110" s="72"/>
      <c r="E110" s="73">
        <f t="shared" si="6"/>
        <v>9.208888622164876</v>
      </c>
      <c r="F110" s="74">
        <f>IF(A110&lt;=$C$22,IF($C$12*(1-$C$26*(EXP(A110/$C$20)-1))&gt;0,$C$12*(1-$C$26*(EXP(A110/$C$20)-1)),0),IF($C$30*(1-$C$28*(EXP((A110-$C$22)/$C$21)-1))&gt;0,$C$30*(1-$C$28*(EXP((A110-$C$22)/$C$21)-1)),0))</f>
        <v>0</v>
      </c>
      <c r="G110" s="75">
        <f>IF(A110&lt;=$C$22,($C$5-$C$8)*(F110/$C$12)^(1/$C$11)+$C$8, ($C$29-$C$8)*(F110/$C$30)^(1/$C$11)+$C$8)</f>
        <v>0</v>
      </c>
      <c r="H110" s="162">
        <f t="shared" si="8"/>
        <v>68760.487169040949</v>
      </c>
      <c r="I110" s="162">
        <f t="shared" si="9"/>
        <v>70239.512830959051</v>
      </c>
      <c r="T110" s="76"/>
      <c r="U110" s="76"/>
      <c r="V110" s="76"/>
      <c r="W110" s="76"/>
      <c r="X110" s="76"/>
    </row>
    <row r="111" spans="1:24" x14ac:dyDescent="0.25">
      <c r="A111" s="108">
        <f t="shared" si="10"/>
        <v>69000</v>
      </c>
      <c r="B111" s="65">
        <f t="shared" si="7"/>
        <v>70500</v>
      </c>
      <c r="C111" s="77"/>
      <c r="D111" s="72"/>
      <c r="E111" s="73">
        <f t="shared" si="6"/>
        <v>8.5869113018211216</v>
      </c>
      <c r="F111" s="74">
        <f>IF(A111&lt;=$C$22,IF($C$12*(1-$C$26*(EXP(A111/$C$20)-1))&gt;0,$C$12*(1-$C$26*(EXP(A111/$C$20)-1)),0),IF($C$30*(1-$C$28*(EXP((A111-$C$22)/$C$21)-1))&gt;0,$C$30*(1-$C$28*(EXP((A111-$C$22)/$C$21)-1)),0))</f>
        <v>0</v>
      </c>
      <c r="G111" s="75">
        <f>IF(A111&lt;=$C$22,($C$5-$C$8)*(F111/$C$12)^(1/$C$11)+$C$8, ($C$29-$C$8)*(F111/$C$30)^(1/$C$11)+$C$8)</f>
        <v>0</v>
      </c>
      <c r="H111" s="162">
        <f t="shared" si="8"/>
        <v>69784.731283383371</v>
      </c>
      <c r="I111" s="162">
        <f t="shared" si="9"/>
        <v>71215.268716616629</v>
      </c>
      <c r="T111" s="76"/>
      <c r="U111" s="76"/>
      <c r="V111" s="76"/>
      <c r="W111" s="76"/>
      <c r="X111" s="76"/>
    </row>
    <row r="112" spans="1:24" x14ac:dyDescent="0.25">
      <c r="A112" s="108">
        <f t="shared" si="10"/>
        <v>70000</v>
      </c>
      <c r="B112" s="65">
        <f t="shared" si="7"/>
        <v>71500</v>
      </c>
      <c r="C112" s="77"/>
      <c r="D112" s="72"/>
      <c r="E112" s="73">
        <f t="shared" si="6"/>
        <v>8.0069429364006428</v>
      </c>
      <c r="F112" s="74">
        <f>IF(A112&lt;=$C$22,IF($C$12*(1-$C$26*(EXP(A112/$C$20)-1))&gt;0,$C$12*(1-$C$26*(EXP(A112/$C$20)-1)),0),IF($C$30*(1-$C$28*(EXP((A112-$C$22)/$C$21)-1))&gt;0,$C$30*(1-$C$28*(EXP((A112-$C$22)/$C$21)-1)),0))</f>
        <v>0</v>
      </c>
      <c r="G112" s="75">
        <f>IF(A112&lt;=$C$22,($C$5-$C$8)*(F112/$C$12)^(1/$C$11)+$C$8, ($C$29-$C$8)*(F112/$C$30)^(1/$C$11)+$C$8)</f>
        <v>0</v>
      </c>
      <c r="H112" s="162">
        <f t="shared" si="8"/>
        <v>70808.180581117296</v>
      </c>
      <c r="I112" s="162">
        <f t="shared" si="9"/>
        <v>72191.819418882704</v>
      </c>
      <c r="T112" s="76"/>
      <c r="U112" s="76"/>
      <c r="V112" s="76"/>
      <c r="W112" s="76"/>
      <c r="X112" s="76"/>
    </row>
    <row r="113" spans="1:24" x14ac:dyDescent="0.25">
      <c r="A113" s="108">
        <f t="shared" si="10"/>
        <v>71000</v>
      </c>
      <c r="B113" s="65">
        <f t="shared" si="7"/>
        <v>72500</v>
      </c>
      <c r="C113" s="77"/>
      <c r="D113" s="72"/>
      <c r="E113" s="73">
        <f t="shared" si="6"/>
        <v>7.4661462001103232</v>
      </c>
      <c r="F113" s="74">
        <f>IF(A113&lt;=$C$22,IF($C$12*(1-$C$26*(EXP(A113/$C$20)-1))&gt;0,$C$12*(1-$C$26*(EXP(A113/$C$20)-1)),0),IF($C$30*(1-$C$28*(EXP((A113-$C$22)/$C$21)-1))&gt;0,$C$30*(1-$C$28*(EXP((A113-$C$22)/$C$21)-1)),0))</f>
        <v>0</v>
      </c>
      <c r="G113" s="75">
        <f>IF(A113&lt;=$C$22,($C$5-$C$8)*(F113/$C$12)^(1/$C$11)+$C$8, ($C$29-$C$8)*(F113/$C$30)^(1/$C$11)+$C$8)</f>
        <v>0</v>
      </c>
      <c r="H113" s="162">
        <f t="shared" si="8"/>
        <v>71830.861119430556</v>
      </c>
      <c r="I113" s="162">
        <f t="shared" si="9"/>
        <v>73169.138880569444</v>
      </c>
      <c r="T113" s="76"/>
      <c r="U113" s="76"/>
      <c r="V113" s="76"/>
      <c r="W113" s="76"/>
      <c r="X113" s="76"/>
    </row>
    <row r="114" spans="1:24" x14ac:dyDescent="0.25">
      <c r="A114" s="108">
        <f t="shared" si="10"/>
        <v>72000</v>
      </c>
      <c r="B114" s="65">
        <f t="shared" si="7"/>
        <v>73500</v>
      </c>
      <c r="C114" s="77"/>
      <c r="D114" s="72"/>
      <c r="E114" s="73">
        <f t="shared" si="6"/>
        <v>6.9618754029087784</v>
      </c>
      <c r="F114" s="74">
        <f>IF(A114&lt;=$C$22,IF($C$12*(1-$C$26*(EXP(A114/$C$20)-1))&gt;0,$C$12*(1-$C$26*(EXP(A114/$C$20)-1)),0),IF($C$30*(1-$C$28*(EXP((A114-$C$22)/$C$21)-1))&gt;0,$C$30*(1-$C$28*(EXP((A114-$C$22)/$C$21)-1)),0))</f>
        <v>0</v>
      </c>
      <c r="G114" s="75">
        <f>IF(A114&lt;=$C$22,($C$5-$C$8)*(F114/$C$12)^(1/$C$11)+$C$8, ($C$29-$C$8)*(F114/$C$30)^(1/$C$11)+$C$8)</f>
        <v>0</v>
      </c>
      <c r="H114" s="162">
        <f t="shared" si="8"/>
        <v>72852.798101254724</v>
      </c>
      <c r="I114" s="162">
        <f t="shared" si="9"/>
        <v>74147.201898745276</v>
      </c>
      <c r="J114" s="76"/>
      <c r="K114" s="76"/>
      <c r="L114" s="76"/>
      <c r="M114" s="76"/>
      <c r="N114" s="78"/>
      <c r="O114" s="78"/>
      <c r="P114" s="78"/>
      <c r="Q114" s="78"/>
      <c r="R114" s="76"/>
      <c r="S114" s="78"/>
      <c r="T114" s="76"/>
      <c r="U114" s="76"/>
      <c r="V114" s="76"/>
      <c r="W114" s="76"/>
      <c r="X114" s="76"/>
    </row>
    <row r="115" spans="1:24" x14ac:dyDescent="0.25">
      <c r="A115" s="108">
        <f t="shared" si="10"/>
        <v>73000</v>
      </c>
      <c r="B115" s="65">
        <f t="shared" si="7"/>
        <v>74500</v>
      </c>
      <c r="C115" s="77"/>
      <c r="D115" s="72"/>
      <c r="E115" s="73">
        <f t="shared" si="6"/>
        <v>6.4916635472407549</v>
      </c>
      <c r="F115" s="74">
        <f>IF(A115&lt;=$C$22,IF($C$12*(1-$C$26*(EXP(A115/$C$20)-1))&gt;0,$C$12*(1-$C$26*(EXP(A115/$C$20)-1)),0),IF($C$30*(1-$C$28*(EXP((A115-$C$22)/$C$21)-1))&gt;0,$C$30*(1-$C$28*(EXP((A115-$C$22)/$C$21)-1)),0))</f>
        <v>0</v>
      </c>
      <c r="G115" s="75">
        <f>IF(A115&lt;=$C$22,($C$5-$C$8)*(F115/$C$12)^(1/$C$11)+$C$8, ($C$29-$C$8)*(F115/$C$30)^(1/$C$11)+$C$8)</f>
        <v>0</v>
      </c>
      <c r="H115" s="162">
        <f t="shared" si="8"/>
        <v>73874.015903271036</v>
      </c>
      <c r="I115" s="162">
        <f t="shared" si="9"/>
        <v>75125.984096728964</v>
      </c>
      <c r="J115" s="76"/>
      <c r="K115" s="76"/>
      <c r="L115" s="76"/>
      <c r="M115" s="76"/>
      <c r="N115" s="78"/>
      <c r="O115" s="78"/>
      <c r="P115" s="78"/>
      <c r="Q115" s="78"/>
      <c r="R115" s="76"/>
      <c r="S115" s="78"/>
      <c r="T115" s="76"/>
      <c r="U115" s="76"/>
      <c r="V115" s="76"/>
      <c r="W115" s="76"/>
      <c r="X115" s="76"/>
    </row>
    <row r="116" spans="1:24" x14ac:dyDescent="0.25">
      <c r="A116" s="108">
        <f t="shared" si="10"/>
        <v>74000</v>
      </c>
      <c r="B116" s="65">
        <f t="shared" si="7"/>
        <v>75500</v>
      </c>
      <c r="C116" s="77"/>
      <c r="D116" s="72"/>
      <c r="E116" s="73">
        <f t="shared" si="6"/>
        <v>6.053210258972312</v>
      </c>
      <c r="F116" s="74">
        <f>IF(A116&lt;=$C$22,IF($C$12*(1-$C$26*(EXP(A116/$C$20)-1))&gt;0,$C$12*(1-$C$26*(EXP(A116/$C$20)-1)),0),IF($C$30*(1-$C$28*(EXP((A116-$C$22)/$C$21)-1))&gt;0,$C$30*(1-$C$28*(EXP((A116-$C$22)/$C$21)-1)),0))</f>
        <v>0</v>
      </c>
      <c r="G116" s="75">
        <f>IF(A116&lt;=$C$22,($C$5-$C$8)*(F116/$C$12)^(1/$C$11)+$C$8, ($C$29-$C$8)*(F116/$C$30)^(1/$C$11)+$C$8)</f>
        <v>0</v>
      </c>
      <c r="H116" s="162">
        <f t="shared" si="8"/>
        <v>74894.538102998064</v>
      </c>
      <c r="I116" s="162">
        <f t="shared" si="9"/>
        <v>76105.461897001936</v>
      </c>
      <c r="J116" s="76"/>
      <c r="K116" s="76"/>
      <c r="L116" s="76"/>
      <c r="M116" s="76"/>
      <c r="N116" s="78"/>
      <c r="O116" s="78"/>
      <c r="P116" s="78"/>
      <c r="Q116" s="78"/>
      <c r="R116" s="76"/>
      <c r="S116" s="78"/>
      <c r="T116" s="76"/>
      <c r="U116" s="76"/>
      <c r="V116" s="76"/>
      <c r="W116" s="76"/>
      <c r="X116" s="76"/>
    </row>
    <row r="117" spans="1:24" x14ac:dyDescent="0.25">
      <c r="A117" s="108">
        <f t="shared" si="10"/>
        <v>75000</v>
      </c>
      <c r="B117" s="65">
        <f t="shared" si="7"/>
        <v>76500</v>
      </c>
      <c r="C117" s="77"/>
      <c r="D117" s="72"/>
      <c r="E117" s="73">
        <f t="shared" si="6"/>
        <v>5.644370533482415</v>
      </c>
      <c r="F117" s="74">
        <f>IF(A117&lt;=$C$22,IF($C$12*(1-$C$26*(EXP(A117/$C$20)-1))&gt;0,$C$12*(1-$C$26*(EXP(A117/$C$20)-1)),0),IF($C$30*(1-$C$28*(EXP((A117-$C$22)/$C$21)-1))&gt;0,$C$30*(1-$C$28*(EXP((A117-$C$22)/$C$21)-1)),0))</f>
        <v>0</v>
      </c>
      <c r="G117" s="75">
        <f>IF(A117&lt;=$C$22,($C$5-$C$8)*(F117/$C$12)^(1/$C$11)+$C$8, ($C$29-$C$8)*(F117/$C$30)^(1/$C$11)+$C$8)</f>
        <v>0</v>
      </c>
      <c r="H117" s="162">
        <f t="shared" si="8"/>
        <v>75914.387504991348</v>
      </c>
      <c r="I117" s="162">
        <f t="shared" si="9"/>
        <v>77085.612495008652</v>
      </c>
      <c r="J117" s="76"/>
      <c r="K117" s="76"/>
      <c r="L117" s="76"/>
      <c r="M117" s="76"/>
      <c r="N117" s="78"/>
      <c r="O117" s="78"/>
      <c r="P117" s="78"/>
      <c r="Q117" s="78"/>
      <c r="R117" s="76"/>
      <c r="S117" s="78"/>
      <c r="T117" s="76"/>
      <c r="U117" s="76"/>
      <c r="V117" s="76"/>
      <c r="W117" s="76"/>
      <c r="X117" s="76"/>
    </row>
    <row r="118" spans="1:24" x14ac:dyDescent="0.25">
      <c r="A118" s="108">
        <f t="shared" si="10"/>
        <v>76000</v>
      </c>
      <c r="B118" s="65">
        <f t="shared" si="7"/>
        <v>77500</v>
      </c>
      <c r="C118" s="77"/>
      <c r="D118" s="72"/>
      <c r="E118" s="73">
        <f t="shared" si="6"/>
        <v>5.2631442418544765</v>
      </c>
      <c r="F118" s="74">
        <f>IF(A118&lt;=$C$22,IF($C$12*(1-$C$26*(EXP(A118/$C$20)-1))&gt;0,$C$12*(1-$C$26*(EXP(A118/$C$20)-1)),0),IF($C$30*(1-$C$28*(EXP((A118-$C$22)/$C$21)-1))&gt;0,$C$30*(1-$C$28*(EXP((A118-$C$22)/$C$21)-1)),0))</f>
        <v>0</v>
      </c>
      <c r="G118" s="75">
        <f>IF(A118&lt;=$C$22,($C$5-$C$8)*(F118/$C$12)^(1/$C$11)+$C$8, ($C$29-$C$8)*(F118/$C$30)^(1/$C$11)+$C$8)</f>
        <v>0</v>
      </c>
      <c r="H118" s="162">
        <f t="shared" si="8"/>
        <v>76933.586166184192</v>
      </c>
      <c r="I118" s="162">
        <f t="shared" si="9"/>
        <v>78066.413833815808</v>
      </c>
      <c r="J118" s="76"/>
      <c r="K118" s="76"/>
      <c r="L118" s="76"/>
      <c r="M118" s="76"/>
      <c r="N118" s="78"/>
      <c r="O118" s="78"/>
      <c r="P118" s="78"/>
      <c r="Q118" s="78"/>
      <c r="R118" s="76"/>
      <c r="S118" s="78"/>
      <c r="T118" s="76"/>
      <c r="U118" s="76"/>
      <c r="V118" s="76"/>
      <c r="W118" s="76"/>
      <c r="X118" s="76"/>
    </row>
    <row r="119" spans="1:24" x14ac:dyDescent="0.25">
      <c r="A119" s="108">
        <f t="shared" si="10"/>
        <v>77000</v>
      </c>
      <c r="B119" s="65">
        <f t="shared" si="7"/>
        <v>78500</v>
      </c>
      <c r="C119" s="77"/>
      <c r="D119" s="72"/>
      <c r="E119" s="73">
        <f t="shared" si="6"/>
        <v>4.9076663458299565</v>
      </c>
      <c r="F119" s="74">
        <f>IF(A119&lt;=$C$22,IF($C$12*(1-$C$26*(EXP(A119/$C$20)-1))&gt;0,$C$12*(1-$C$26*(EXP(A119/$C$20)-1)),0),IF($C$30*(1-$C$28*(EXP((A119-$C$22)/$C$21)-1))&gt;0,$C$30*(1-$C$28*(EXP((A119-$C$22)/$C$21)-1)),0))</f>
        <v>0</v>
      </c>
      <c r="G119" s="75">
        <f>IF(A119&lt;=$C$22,($C$5-$C$8)*(F119/$C$12)^(1/$C$11)+$C$8, ($C$29-$C$8)*(F119/$C$30)^(1/$C$11)+$C$8)</f>
        <v>0</v>
      </c>
      <c r="H119" s="162">
        <f t="shared" si="8"/>
        <v>77952.155420397612</v>
      </c>
      <c r="I119" s="162">
        <f t="shared" si="9"/>
        <v>79047.844579602388</v>
      </c>
      <c r="J119" s="76"/>
      <c r="K119" s="76"/>
      <c r="L119" s="76"/>
      <c r="M119" s="76"/>
      <c r="N119" s="78"/>
      <c r="O119" s="78"/>
      <c r="P119" s="78"/>
      <c r="Q119" s="78"/>
      <c r="R119" s="76"/>
      <c r="S119" s="78"/>
      <c r="T119" s="76"/>
      <c r="U119" s="76"/>
      <c r="V119" s="76"/>
      <c r="W119" s="76"/>
      <c r="X119" s="76"/>
    </row>
    <row r="120" spans="1:24" x14ac:dyDescent="0.25">
      <c r="A120" s="108">
        <f t="shared" si="10"/>
        <v>78000</v>
      </c>
      <c r="B120" s="65">
        <f t="shared" si="7"/>
        <v>79500</v>
      </c>
      <c r="C120" s="77"/>
      <c r="D120" s="72"/>
      <c r="E120" s="73">
        <f t="shared" si="6"/>
        <v>4.5761977736535551</v>
      </c>
      <c r="F120" s="74">
        <f>IF(A120&lt;=$C$22,IF($C$12*(1-$C$26*(EXP(A120/$C$20)-1))&gt;0,$C$12*(1-$C$26*(EXP(A120/$C$20)-1)),0),IF($C$30*(1-$C$28*(EXP((A120-$C$22)/$C$21)-1))&gt;0,$C$30*(1-$C$28*(EXP((A120-$C$22)/$C$21)-1)),0))</f>
        <v>0</v>
      </c>
      <c r="G120" s="75">
        <f>IF(A120&lt;=$C$22,($C$5-$C$8)*(F120/$C$12)^(1/$C$11)+$C$8, ($C$29-$C$8)*(F120/$C$30)^(1/$C$11)+$C$8)</f>
        <v>0</v>
      </c>
      <c r="H120" s="162">
        <f t="shared" si="8"/>
        <v>78970.115902046775</v>
      </c>
      <c r="I120" s="162">
        <f t="shared" si="9"/>
        <v>80029.884097953225</v>
      </c>
      <c r="J120" s="76"/>
      <c r="K120" s="76"/>
      <c r="L120" s="76"/>
      <c r="M120" s="76"/>
      <c r="N120" s="78"/>
      <c r="O120" s="78"/>
      <c r="P120" s="78"/>
      <c r="Q120" s="78"/>
      <c r="R120" s="76"/>
      <c r="S120" s="78"/>
      <c r="T120" s="76"/>
      <c r="U120" s="76"/>
      <c r="V120" s="76"/>
      <c r="W120" s="76"/>
      <c r="X120" s="76"/>
    </row>
    <row r="121" spans="1:24" x14ac:dyDescent="0.25">
      <c r="A121" s="108">
        <f t="shared" si="10"/>
        <v>79000</v>
      </c>
      <c r="B121" s="65">
        <f t="shared" si="7"/>
        <v>80500</v>
      </c>
      <c r="C121" s="77"/>
      <c r="D121" s="72"/>
      <c r="E121" s="73">
        <f t="shared" si="6"/>
        <v>4.2671169121726864</v>
      </c>
      <c r="F121" s="74">
        <f>IF(A121&lt;=$C$22,IF($C$12*(1-$C$26*(EXP(A121/$C$20)-1))&gt;0,$C$12*(1-$C$26*(EXP(A121/$C$20)-1)),0),IF($C$30*(1-$C$28*(EXP((A121-$C$22)/$C$21)-1))&gt;0,$C$30*(1-$C$28*(EXP((A121-$C$22)/$C$21)-1)),0))</f>
        <v>0</v>
      </c>
      <c r="G121" s="75">
        <f>IF(A121&lt;=$C$22,($C$5-$C$8)*(F121/$C$12)^(1/$C$11)+$C$8, ($C$29-$C$8)*(F121/$C$30)^(1/$C$11)+$C$8)</f>
        <v>0</v>
      </c>
      <c r="H121" s="162">
        <f t="shared" si="8"/>
        <v>79987.487569070261</v>
      </c>
      <c r="I121" s="162">
        <f t="shared" si="9"/>
        <v>81012.512430929739</v>
      </c>
      <c r="J121" s="76"/>
      <c r="K121" s="76"/>
      <c r="L121" s="76"/>
      <c r="M121" s="76"/>
      <c r="N121" s="78"/>
      <c r="O121" s="78"/>
      <c r="P121" s="78"/>
      <c r="Q121" s="78"/>
      <c r="R121" s="76"/>
      <c r="S121" s="78"/>
      <c r="T121" s="76"/>
      <c r="U121" s="76"/>
      <c r="V121" s="76"/>
      <c r="W121" s="76"/>
      <c r="X121" s="76"/>
    </row>
    <row r="122" spans="1:24" x14ac:dyDescent="0.25">
      <c r="A122" s="108">
        <f t="shared" si="10"/>
        <v>80000</v>
      </c>
      <c r="B122" s="65">
        <f t="shared" si="7"/>
        <v>81500</v>
      </c>
      <c r="C122" s="77"/>
      <c r="D122" s="72"/>
      <c r="E122" s="73">
        <f t="shared" si="6"/>
        <v>3.9789116735689039</v>
      </c>
      <c r="F122" s="74">
        <f>IF(A122&lt;=$C$22,IF($C$12*(1-$C$26*(EXP(A122/$C$20)-1))&gt;0,$C$12*(1-$C$26*(EXP(A122/$C$20)-1)),0),IF($C$30*(1-$C$28*(EXP((A122-$C$22)/$C$21)-1))&gt;0,$C$30*(1-$C$28*(EXP((A122-$C$22)/$C$21)-1)),0))</f>
        <v>0</v>
      </c>
      <c r="G122" s="75">
        <f>IF(A122&lt;=$C$22,($C$5-$C$8)*(F122/$C$12)^(1/$C$11)+$C$8, ($C$29-$C$8)*(F122/$C$30)^(1/$C$11)+$C$8)</f>
        <v>0</v>
      </c>
      <c r="H122" s="162">
        <f t="shared" si="8"/>
        <v>81004.289725107577</v>
      </c>
      <c r="I122" s="162">
        <f t="shared" si="9"/>
        <v>81995.710274892423</v>
      </c>
      <c r="J122" s="76"/>
      <c r="K122" s="76"/>
      <c r="L122" s="76"/>
      <c r="M122" s="76"/>
      <c r="N122" s="78"/>
      <c r="O122" s="78"/>
      <c r="P122" s="78"/>
      <c r="Q122" s="78"/>
      <c r="R122" s="76"/>
      <c r="S122" s="78"/>
      <c r="T122" s="76"/>
      <c r="U122" s="76"/>
      <c r="V122" s="76"/>
      <c r="W122" s="76"/>
      <c r="X122" s="76"/>
    </row>
    <row r="123" spans="1:24" x14ac:dyDescent="0.25">
      <c r="A123" s="108">
        <f t="shared" si="10"/>
        <v>81000</v>
      </c>
      <c r="B123" s="65">
        <f t="shared" si="7"/>
        <v>82500</v>
      </c>
      <c r="C123" s="77"/>
      <c r="D123" s="72"/>
      <c r="E123" s="73">
        <f t="shared" si="6"/>
        <v>3.710172097909981</v>
      </c>
      <c r="F123" s="74">
        <f>IF(A123&lt;=$C$22,IF($C$12*(1-$C$26*(EXP(A123/$C$20)-1))&gt;0,$C$12*(1-$C$26*(EXP(A123/$C$20)-1)),0),IF($C$30*(1-$C$28*(EXP((A123-$C$22)/$C$21)-1))&gt;0,$C$30*(1-$C$28*(EXP((A123-$C$22)/$C$21)-1)),0))</f>
        <v>0</v>
      </c>
      <c r="G123" s="75">
        <f>IF(A123&lt;=$C$22,($C$5-$C$8)*(F123/$C$12)^(1/$C$11)+$C$8, ($C$29-$C$8)*(F123/$C$30)^(1/$C$11)+$C$8)</f>
        <v>0</v>
      </c>
      <c r="H123" s="162">
        <f t="shared" si="8"/>
        <v>82020.541040949698</v>
      </c>
      <c r="I123" s="162">
        <f t="shared" si="9"/>
        <v>82979.458959050302</v>
      </c>
      <c r="J123" s="76"/>
      <c r="K123" s="76"/>
      <c r="L123" s="76"/>
      <c r="M123" s="76"/>
      <c r="N123" s="78"/>
      <c r="O123" s="78"/>
      <c r="P123" s="78"/>
      <c r="Q123" s="78"/>
      <c r="R123" s="76"/>
      <c r="S123" s="78"/>
      <c r="T123" s="76"/>
      <c r="U123" s="76"/>
      <c r="V123" s="76"/>
      <c r="W123" s="76"/>
      <c r="X123" s="76"/>
    </row>
    <row r="124" spans="1:24" x14ac:dyDescent="0.25">
      <c r="A124" s="108">
        <f t="shared" si="10"/>
        <v>82000</v>
      </c>
      <c r="B124" s="65">
        <f t="shared" si="7"/>
        <v>83500</v>
      </c>
      <c r="C124" s="77"/>
      <c r="D124" s="72"/>
      <c r="E124" s="73">
        <f t="shared" si="6"/>
        <v>3.4595834553328575</v>
      </c>
      <c r="F124" s="74">
        <f>IF(A124&lt;=$C$22,IF($C$12*(1-$C$26*(EXP(A124/$C$20)-1))&gt;0,$C$12*(1-$C$26*(EXP(A124/$C$20)-1)),0),IF($C$30*(1-$C$28*(EXP((A124-$C$22)/$C$21)-1))&gt;0,$C$30*(1-$C$28*(EXP((A124-$C$22)/$C$21)-1)),0))</f>
        <v>0</v>
      </c>
      <c r="G124" s="75">
        <f>IF(A124&lt;=$C$22,($C$5-$C$8)*(F124/$C$12)^(1/$C$11)+$C$8, ($C$29-$C$8)*(F124/$C$30)^(1/$C$11)+$C$8)</f>
        <v>0</v>
      </c>
      <c r="H124" s="162">
        <f t="shared" si="8"/>
        <v>83036.259575286196</v>
      </c>
      <c r="I124" s="162">
        <f t="shared" si="9"/>
        <v>83963.740424713804</v>
      </c>
      <c r="S124" s="76"/>
      <c r="T124" s="76"/>
      <c r="U124" s="76"/>
      <c r="V124" s="76"/>
      <c r="W124" s="76"/>
      <c r="X124" s="76"/>
    </row>
    <row r="125" spans="1:24" x14ac:dyDescent="0.25">
      <c r="A125" s="108">
        <f t="shared" si="10"/>
        <v>83000</v>
      </c>
      <c r="B125" s="65">
        <f t="shared" si="7"/>
        <v>84500</v>
      </c>
      <c r="C125" s="77"/>
      <c r="D125" s="72"/>
      <c r="E125" s="73">
        <f t="shared" si="6"/>
        <v>3.2259198141118754</v>
      </c>
      <c r="F125" s="74">
        <f>IF(A125&lt;=$C$22,IF($C$12*(1-$C$26*(EXP(A125/$C$20)-1))&gt;0,$C$12*(1-$C$26*(EXP(A125/$C$20)-1)),0),IF($C$30*(1-$C$28*(EXP((A125-$C$22)/$C$21)-1))&gt;0,$C$30*(1-$C$28*(EXP((A125-$C$22)/$C$21)-1)),0))</f>
        <v>0</v>
      </c>
      <c r="G125" s="75">
        <f>IF(A125&lt;=$C$22,($C$5-$C$8)*(F125/$C$12)^(1/$C$11)+$C$8, ($C$29-$C$8)*(F125/$C$30)^(1/$C$11)+$C$8)</f>
        <v>0</v>
      </c>
      <c r="H125" s="162">
        <f t="shared" si="8"/>
        <v>84051.462794772451</v>
      </c>
      <c r="I125" s="162">
        <f t="shared" si="9"/>
        <v>84948.537205227549</v>
      </c>
      <c r="S125" s="76"/>
      <c r="T125" s="76"/>
      <c r="U125" s="76"/>
      <c r="V125" s="76"/>
      <c r="W125" s="76"/>
      <c r="X125" s="76"/>
    </row>
    <row r="126" spans="1:24" x14ac:dyDescent="0.25">
      <c r="A126" s="108">
        <f t="shared" si="10"/>
        <v>84000</v>
      </c>
      <c r="B126" s="65">
        <f t="shared" si="7"/>
        <v>85500</v>
      </c>
      <c r="C126" s="77"/>
      <c r="D126" s="72"/>
      <c r="E126" s="73">
        <f t="shared" si="6"/>
        <v>3.0080380431459628</v>
      </c>
      <c r="F126" s="74">
        <f>IF(A126&lt;=$C$22,IF($C$12*(1-$C$26*(EXP(A126/$C$20)-1))&gt;0,$C$12*(1-$C$26*(EXP(A126/$C$20)-1)),0),IF($C$30*(1-$C$28*(EXP((A126-$C$22)/$C$21)-1))&gt;0,$C$30*(1-$C$28*(EXP((A126-$C$22)/$C$21)-1)),0))</f>
        <v>0</v>
      </c>
      <c r="G126" s="75">
        <f>IF(A126&lt;=$C$22,($C$5-$C$8)*(F126/$C$12)^(1/$C$11)+$C$8, ($C$29-$C$8)*(F126/$C$30)^(1/$C$11)+$C$8)</f>
        <v>0</v>
      </c>
      <c r="H126" s="162">
        <f t="shared" si="8"/>
        <v>85066.167593438717</v>
      </c>
      <c r="I126" s="162">
        <f t="shared" si="9"/>
        <v>85933.832406561283</v>
      </c>
      <c r="S126" s="76"/>
      <c r="T126" s="76"/>
      <c r="U126" s="76"/>
      <c r="V126" s="76"/>
      <c r="W126" s="76"/>
      <c r="X126" s="76"/>
    </row>
    <row r="127" spans="1:24" x14ac:dyDescent="0.25">
      <c r="A127" s="108">
        <f t="shared" si="10"/>
        <v>85000</v>
      </c>
      <c r="B127" s="65">
        <f t="shared" si="7"/>
        <v>86500</v>
      </c>
      <c r="C127" s="77"/>
      <c r="D127" s="72"/>
      <c r="E127" s="73">
        <f t="shared" si="6"/>
        <v>2.8048722195236802</v>
      </c>
      <c r="F127" s="74">
        <f>IF(A127&lt;=$C$22,IF($C$12*(1-$C$26*(EXP(A127/$C$20)-1))&gt;0,$C$12*(1-$C$26*(EXP(A127/$C$20)-1)),0),IF($C$30*(1-$C$28*(EXP((A127-$C$22)/$C$21)-1))&gt;0,$C$30*(1-$C$28*(EXP((A127-$C$22)/$C$21)-1)),0))</f>
        <v>0</v>
      </c>
      <c r="G127" s="75">
        <f>IF(A127&lt;=$C$22,($C$5-$C$8)*(F127/$C$12)^(1/$C$11)+$C$8, ($C$29-$C$8)*(F127/$C$30)^(1/$C$11)+$C$8)</f>
        <v>0</v>
      </c>
      <c r="H127" s="162">
        <f t="shared" si="8"/>
        <v>86080.390311463067</v>
      </c>
      <c r="I127" s="162">
        <f t="shared" si="9"/>
        <v>86919.609688536933</v>
      </c>
      <c r="S127" s="76"/>
      <c r="T127" s="76"/>
      <c r="U127" s="76"/>
      <c r="V127" s="76"/>
      <c r="W127" s="76"/>
      <c r="X127" s="76"/>
    </row>
    <row r="128" spans="1:24" x14ac:dyDescent="0.25">
      <c r="A128" s="108">
        <f t="shared" si="10"/>
        <v>86000</v>
      </c>
      <c r="B128" s="65">
        <f t="shared" si="7"/>
        <v>87500</v>
      </c>
      <c r="C128" s="77"/>
      <c r="D128" s="72"/>
      <c r="E128" s="73">
        <f t="shared" si="6"/>
        <v>2.6154284138067792</v>
      </c>
      <c r="F128" s="74">
        <f>IF(A128&lt;=$C$22,IF($C$12*(1-$C$26*(EXP(A128/$C$20)-1))&gt;0,$C$12*(1-$C$26*(EXP(A128/$C$20)-1)),0),IF($C$30*(1-$C$28*(EXP((A128-$C$22)/$C$21)-1))&gt;0,$C$30*(1-$C$28*(EXP((A128-$C$22)/$C$21)-1)),0))</f>
        <v>0</v>
      </c>
      <c r="G128" s="75">
        <f>IF(A128&lt;=$C$22,($C$5-$C$8)*(F128/$C$12)^(1/$C$11)+$C$8, ($C$29-$C$8)*(F128/$C$30)^(1/$C$11)+$C$8)</f>
        <v>0</v>
      </c>
      <c r="H128" s="162">
        <f t="shared" si="8"/>
        <v>87094.146753328838</v>
      </c>
      <c r="I128" s="162">
        <f t="shared" si="9"/>
        <v>87905.853246671162</v>
      </c>
      <c r="S128" s="76"/>
      <c r="T128" s="76"/>
      <c r="U128" s="76"/>
      <c r="V128" s="76"/>
      <c r="W128" s="76"/>
      <c r="X128" s="76"/>
    </row>
    <row r="129" spans="1:24" x14ac:dyDescent="0.25">
      <c r="A129" s="108">
        <f t="shared" si="10"/>
        <v>87000</v>
      </c>
      <c r="B129" s="65">
        <f t="shared" si="7"/>
        <v>88500</v>
      </c>
      <c r="C129" s="77"/>
      <c r="D129" s="72"/>
      <c r="E129" s="73">
        <f t="shared" si="6"/>
        <v>2.4387798275208015</v>
      </c>
      <c r="F129" s="74">
        <f>IF(A129&lt;=$C$22,IF($C$12*(1-$C$26*(EXP(A129/$C$20)-1))&gt;0,$C$12*(1-$C$26*(EXP(A129/$C$20)-1)),0),IF($C$30*(1-$C$28*(EXP((A129-$C$22)/$C$21)-1))&gt;0,$C$30*(1-$C$28*(EXP((A129-$C$22)/$C$21)-1)),0))</f>
        <v>0</v>
      </c>
      <c r="G129" s="75">
        <f>IF(A129&lt;=$C$22,($C$5-$C$8)*(F129/$C$12)^(1/$C$11)+$C$8, ($C$29-$C$8)*(F129/$C$30)^(1/$C$11)+$C$8)</f>
        <v>0</v>
      </c>
      <c r="H129" s="162">
        <f t="shared" si="8"/>
        <v>88107.452205386755</v>
      </c>
      <c r="I129" s="162">
        <f t="shared" si="9"/>
        <v>88892.547794613245</v>
      </c>
      <c r="S129" s="76"/>
      <c r="T129" s="76"/>
      <c r="U129" s="76"/>
      <c r="V129" s="76"/>
      <c r="W129" s="76"/>
      <c r="X129" s="76"/>
    </row>
    <row r="130" spans="1:24" x14ac:dyDescent="0.25">
      <c r="A130" s="108">
        <f t="shared" si="10"/>
        <v>88000</v>
      </c>
      <c r="B130" s="65">
        <f t="shared" si="7"/>
        <v>89500</v>
      </c>
      <c r="C130" s="77"/>
      <c r="D130" s="72"/>
      <c r="E130" s="73">
        <f t="shared" si="6"/>
        <v>2.2740622590642943</v>
      </c>
      <c r="F130" s="74">
        <f>IF(A130&lt;=$C$22,IF($C$12*(1-$C$26*(EXP(A130/$C$20)-1))&gt;0,$C$12*(1-$C$26*(EXP(A130/$C$20)-1)),0),IF($C$30*(1-$C$28*(EXP((A130-$C$22)/$C$21)-1))&gt;0,$C$30*(1-$C$28*(EXP((A130-$C$22)/$C$21)-1)),0))</f>
        <v>0</v>
      </c>
      <c r="G130" s="75">
        <f>IF(A130&lt;=$C$22,($C$5-$C$8)*(F130/$C$12)^(1/$C$11)+$C$8, ($C$29-$C$8)*(F130/$C$30)^(1/$C$11)+$C$8)</f>
        <v>0</v>
      </c>
      <c r="H130" s="162">
        <f t="shared" si="8"/>
        <v>89120.321452841366</v>
      </c>
      <c r="I130" s="162">
        <f t="shared" si="9"/>
        <v>89879.678547158634</v>
      </c>
      <c r="S130" s="76"/>
      <c r="T130" s="76"/>
      <c r="U130" s="76"/>
      <c r="V130" s="76"/>
      <c r="W130" s="76"/>
      <c r="X130" s="76"/>
    </row>
    <row r="131" spans="1:24" x14ac:dyDescent="0.25">
      <c r="A131" s="108">
        <f t="shared" si="10"/>
        <v>89000</v>
      </c>
      <c r="B131" s="65">
        <f t="shared" si="7"/>
        <v>90500</v>
      </c>
      <c r="C131" s="77"/>
      <c r="D131" s="72"/>
      <c r="E131" s="73">
        <f t="shared" si="6"/>
        <v>2.1204698758549547</v>
      </c>
      <c r="F131" s="74">
        <f>IF(A131&lt;=$C$22,IF($C$12*(1-$C$26*(EXP(A131/$C$20)-1))&gt;0,$C$12*(1-$C$26*(EXP(A131/$C$20)-1)),0),IF($C$30*(1-$C$28*(EXP((A131-$C$22)/$C$21)-1))&gt;0,$C$30*(1-$C$28*(EXP((A131-$C$22)/$C$21)-1)),0))</f>
        <v>0</v>
      </c>
      <c r="G131" s="75">
        <f>IF(A131&lt;=$C$22,($C$5-$C$8)*(F131/$C$12)^(1/$C$11)+$C$8, ($C$29-$C$8)*(F131/$C$30)^(1/$C$11)+$C$8)</f>
        <v>0</v>
      </c>
      <c r="H131" s="162">
        <f t="shared" si="8"/>
        <v>90132.76879618055</v>
      </c>
      <c r="I131" s="162">
        <f t="shared" si="9"/>
        <v>90867.23120381945</v>
      </c>
      <c r="S131" s="76"/>
      <c r="T131" s="76"/>
      <c r="U131" s="76"/>
      <c r="V131" s="76"/>
      <c r="W131" s="76"/>
      <c r="X131" s="76"/>
    </row>
    <row r="132" spans="1:24" x14ac:dyDescent="0.25">
      <c r="A132" s="108">
        <f t="shared" si="10"/>
        <v>90000</v>
      </c>
      <c r="B132" s="65">
        <f t="shared" si="7"/>
        <v>91500</v>
      </c>
      <c r="C132" s="77"/>
      <c r="D132" s="72"/>
      <c r="E132" s="73">
        <f t="shared" si="6"/>
        <v>1.977251272029138</v>
      </c>
      <c r="F132" s="74">
        <f>IF(A132&lt;=$C$22,IF($C$12*(1-$C$26*(EXP(A132/$C$20)-1))&gt;0,$C$12*(1-$C$26*(EXP(A132/$C$20)-1)),0),IF($C$30*(1-$C$28*(EXP((A132-$C$22)/$C$21)-1))&gt;0,$C$30*(1-$C$28*(EXP((A132-$C$22)/$C$21)-1)),0))</f>
        <v>0</v>
      </c>
      <c r="G132" s="75">
        <f>IF(A132&lt;=$C$22,($C$5-$C$8)*(F132/$C$12)^(1/$C$11)+$C$8, ($C$29-$C$8)*(F132/$C$30)^(1/$C$11)+$C$8)</f>
        <v>0</v>
      </c>
      <c r="H132" s="162">
        <f t="shared" si="8"/>
        <v>91144.808067066449</v>
      </c>
      <c r="I132" s="162">
        <f t="shared" si="9"/>
        <v>91855.191932933551</v>
      </c>
      <c r="S132" s="76"/>
      <c r="T132" s="76"/>
      <c r="U132" s="76"/>
      <c r="V132" s="76"/>
      <c r="W132" s="76"/>
      <c r="X132" s="76"/>
    </row>
    <row r="133" spans="1:24" x14ac:dyDescent="0.25">
      <c r="A133" s="108">
        <f t="shared" si="10"/>
        <v>91000</v>
      </c>
      <c r="B133" s="65">
        <f t="shared" si="7"/>
        <v>92500</v>
      </c>
      <c r="C133" s="77"/>
      <c r="D133" s="72"/>
      <c r="E133" s="73">
        <f t="shared" si="6"/>
        <v>1.8437057924081832</v>
      </c>
      <c r="F133" s="74">
        <f>IF(A133&lt;=$C$22,IF($C$12*(1-$C$26*(EXP(A133/$C$20)-1))&gt;0,$C$12*(1-$C$26*(EXP(A133/$C$20)-1)),0),IF($C$30*(1-$C$28*(EXP((A133-$C$22)/$C$21)-1))&gt;0,$C$30*(1-$C$28*(EXP((A133-$C$22)/$C$21)-1)),0))</f>
        <v>0</v>
      </c>
      <c r="G133" s="75">
        <f>IF(A133&lt;=$C$22,($C$5-$C$8)*(F133/$C$12)^(1/$C$11)+$C$8, ($C$29-$C$8)*(F133/$C$30)^(1/$C$11)+$C$8)</f>
        <v>0</v>
      </c>
      <c r="H133" s="162">
        <f t="shared" si="8"/>
        <v>92156.452643705343</v>
      </c>
      <c r="I133" s="162">
        <f t="shared" si="9"/>
        <v>92843.547356294657</v>
      </c>
      <c r="S133" s="76"/>
      <c r="T133" s="76"/>
      <c r="U133" s="76"/>
      <c r="V133" s="76"/>
      <c r="W133" s="76"/>
      <c r="X133" s="76"/>
    </row>
    <row r="134" spans="1:24" x14ac:dyDescent="0.25">
      <c r="A134" s="108">
        <f t="shared" si="10"/>
        <v>92000</v>
      </c>
      <c r="B134" s="65">
        <f t="shared" si="7"/>
        <v>93500</v>
      </c>
      <c r="C134" s="77"/>
      <c r="D134" s="72"/>
      <c r="E134" s="73">
        <f t="shared" si="6"/>
        <v>1.7191801047476545</v>
      </c>
      <c r="F134" s="74">
        <f>IF(A134&lt;=$C$22,IF($C$12*(1-$C$26*(EXP(A134/$C$20)-1))&gt;0,$C$12*(1-$C$26*(EXP(A134/$C$20)-1)),0),IF($C$30*(1-$C$28*(EXP((A134-$C$22)/$C$21)-1))&gt;0,$C$30*(1-$C$28*(EXP((A134-$C$22)/$C$21)-1)),0))</f>
        <v>0</v>
      </c>
      <c r="G134" s="75">
        <f>IF(A134&lt;=$C$22,($C$5-$C$8)*(F134/$C$12)^(1/$C$11)+$C$8, ($C$29-$C$8)*(F134/$C$30)^(1/$C$11)+$C$8)</f>
        <v>0</v>
      </c>
      <c r="H134" s="162">
        <f t="shared" si="8"/>
        <v>93167.715465713773</v>
      </c>
      <c r="I134" s="162">
        <f t="shared" si="9"/>
        <v>93832.284534286227</v>
      </c>
      <c r="S134" s="76"/>
      <c r="T134" s="76"/>
      <c r="U134" s="76"/>
      <c r="V134" s="76"/>
      <c r="W134" s="76"/>
      <c r="X134" s="76"/>
    </row>
    <row r="135" spans="1:24" x14ac:dyDescent="0.25">
      <c r="A135" s="108">
        <f t="shared" si="10"/>
        <v>93000</v>
      </c>
      <c r="B135" s="65">
        <f t="shared" si="7"/>
        <v>94500</v>
      </c>
      <c r="C135" s="77"/>
      <c r="D135" s="72"/>
      <c r="E135" s="73">
        <f t="shared" si="6"/>
        <v>1.6030650035001961</v>
      </c>
      <c r="F135" s="74">
        <f>IF(A135&lt;=$C$22,IF($C$12*(1-$C$26*(EXP(A135/$C$20)-1))&gt;0,$C$12*(1-$C$26*(EXP(A135/$C$20)-1)),0),IF($C$30*(1-$C$28*(EXP((A135-$C$22)/$C$21)-1))&gt;0,$C$30*(1-$C$28*(EXP((A135-$C$22)/$C$21)-1)),0))</f>
        <v>0</v>
      </c>
      <c r="G135" s="75">
        <f>IF(A135&lt;=$C$22,($C$5-$C$8)*(F135/$C$12)^(1/$C$11)+$C$8, ($C$29-$C$8)*(F135/$C$30)^(1/$C$11)+$C$8)</f>
        <v>0</v>
      </c>
      <c r="H135" s="162">
        <f t="shared" si="8"/>
        <v>94178.609048497194</v>
      </c>
      <c r="I135" s="162">
        <f t="shared" si="9"/>
        <v>94821.390951502806</v>
      </c>
      <c r="S135" s="76"/>
      <c r="T135" s="76"/>
      <c r="U135" s="76"/>
      <c r="V135" s="76"/>
      <c r="W135" s="76"/>
      <c r="X135" s="76"/>
    </row>
    <row r="136" spans="1:24" x14ac:dyDescent="0.25">
      <c r="A136" s="108">
        <f t="shared" si="10"/>
        <v>94000</v>
      </c>
      <c r="B136" s="65">
        <f t="shared" si="7"/>
        <v>95500</v>
      </c>
      <c r="C136" s="77"/>
      <c r="D136" s="72"/>
      <c r="E136" s="73">
        <f t="shared" si="6"/>
        <v>1.4947924294553701</v>
      </c>
      <c r="F136" s="74">
        <f>IF(A136&lt;=$C$22,IF($C$12*(1-$C$26*(EXP(A136/$C$20)-1))&gt;0,$C$12*(1-$C$26*(EXP(A136/$C$20)-1)),0),IF($C$30*(1-$C$28*(EXP((A136-$C$22)/$C$21)-1))&gt;0,$C$30*(1-$C$28*(EXP((A136-$C$22)/$C$21)-1)),0))</f>
        <v>0</v>
      </c>
      <c r="G136" s="75">
        <f>IF(A136&lt;=$C$22,($C$5-$C$8)*(F136/$C$12)^(1/$C$11)+$C$8, ($C$29-$C$8)*(F136/$C$30)^(1/$C$11)+$C$8)</f>
        <v>0</v>
      </c>
      <c r="H136" s="162">
        <f t="shared" si="8"/>
        <v>95189.145497157253</v>
      </c>
      <c r="I136" s="162">
        <f t="shared" si="9"/>
        <v>95810.854502842747</v>
      </c>
      <c r="S136" s="76"/>
      <c r="T136" s="76"/>
      <c r="U136" s="76"/>
      <c r="V136" s="76"/>
      <c r="W136" s="76"/>
      <c r="X136" s="76"/>
    </row>
    <row r="137" spans="1:24" x14ac:dyDescent="0.25">
      <c r="A137" s="108">
        <f t="shared" si="10"/>
        <v>95000</v>
      </c>
      <c r="B137" s="65">
        <f t="shared" si="7"/>
        <v>96500</v>
      </c>
      <c r="C137" s="77"/>
      <c r="D137" s="72"/>
      <c r="E137" s="73">
        <f t="shared" si="6"/>
        <v>1.3938326906759237</v>
      </c>
      <c r="F137" s="74">
        <f>IF(A137&lt;=$C$22,IF($C$12*(1-$C$26*(EXP(A137/$C$20)-1))&gt;0,$C$12*(1-$C$26*(EXP(A137/$C$20)-1)),0),IF($C$30*(1-$C$28*(EXP((A137-$C$22)/$C$21)-1))&gt;0,$C$30*(1-$C$28*(EXP((A137-$C$22)/$C$21)-1)),0))</f>
        <v>0</v>
      </c>
      <c r="G137" s="75">
        <f>IF(A137&lt;=$C$22,($C$5-$C$8)*(F137/$C$12)^(1/$C$11)+$C$8, ($C$29-$C$8)*(F137/$C$30)^(1/$C$11)+$C$8)</f>
        <v>0</v>
      </c>
      <c r="H137" s="162">
        <f t="shared" si="8"/>
        <v>96199.336519943172</v>
      </c>
      <c r="I137" s="162">
        <f t="shared" si="9"/>
        <v>96800.663480056828</v>
      </c>
      <c r="S137" s="76"/>
      <c r="T137" s="76"/>
      <c r="U137" s="76"/>
      <c r="V137" s="76"/>
      <c r="W137" s="76"/>
      <c r="X137" s="76"/>
    </row>
    <row r="138" spans="1:24" x14ac:dyDescent="0.25">
      <c r="A138" s="108">
        <f t="shared" si="10"/>
        <v>96000</v>
      </c>
      <c r="B138" s="65">
        <f t="shared" si="7"/>
        <v>97500</v>
      </c>
      <c r="C138" s="77"/>
      <c r="D138" s="72"/>
      <c r="E138" s="73">
        <f t="shared" si="6"/>
        <v>1.2996918711347343</v>
      </c>
      <c r="F138" s="74">
        <f>IF(A138&lt;=$C$22,IF($C$12*(1-$C$26*(EXP(A138/$C$20)-1))&gt;0,$C$12*(1-$C$26*(EXP(A138/$C$20)-1)),0),IF($C$30*(1-$C$28*(EXP((A138-$C$22)/$C$21)-1))&gt;0,$C$30*(1-$C$28*(EXP((A138-$C$22)/$C$21)-1)),0))</f>
        <v>0</v>
      </c>
      <c r="G138" s="75">
        <f>IF(A138&lt;=$C$22,($C$5-$C$8)*(F138/$C$12)^(1/$C$11)+$C$8, ($C$29-$C$8)*(F138/$C$30)^(1/$C$11)+$C$8)</f>
        <v>0</v>
      </c>
      <c r="H138" s="162">
        <f t="shared" si="8"/>
        <v>97209.19344126209</v>
      </c>
      <c r="I138" s="162">
        <f t="shared" si="9"/>
        <v>97790.80655873791</v>
      </c>
      <c r="S138" s="76"/>
      <c r="T138" s="76"/>
      <c r="U138" s="76"/>
      <c r="V138" s="76"/>
      <c r="W138" s="76"/>
      <c r="X138" s="76"/>
    </row>
    <row r="139" spans="1:24" x14ac:dyDescent="0.25">
      <c r="A139" s="108">
        <f t="shared" si="10"/>
        <v>97000</v>
      </c>
      <c r="B139" s="65">
        <f t="shared" si="7"/>
        <v>98500</v>
      </c>
      <c r="C139" s="77"/>
      <c r="D139" s="72"/>
      <c r="E139" s="73">
        <f t="shared" si="6"/>
        <v>1.2119094143749409</v>
      </c>
      <c r="F139" s="74">
        <f>IF(A139&lt;=$C$22,IF($C$12*(1-$C$26*(EXP(A139/$C$20)-1))&gt;0,$C$12*(1-$C$26*(EXP(A139/$C$20)-1)),0),IF($C$30*(1-$C$28*(EXP((A139-$C$22)/$C$21)-1))&gt;0,$C$30*(1-$C$28*(EXP((A139-$C$22)/$C$21)-1)),0))</f>
        <v>0</v>
      </c>
      <c r="G139" s="75">
        <f>IF(A139&lt;=$C$22,($C$5-$C$8)*(F139/$C$12)^(1/$C$11)+$C$8, ($C$29-$C$8)*(F139/$C$30)^(1/$C$11)+$C$8)</f>
        <v>0</v>
      </c>
      <c r="H139" s="162">
        <f t="shared" si="8"/>
        <v>98218.727214262923</v>
      </c>
      <c r="I139" s="162">
        <f t="shared" si="9"/>
        <v>98781.272785737077</v>
      </c>
      <c r="S139" s="76"/>
      <c r="T139" s="76"/>
      <c r="U139" s="76"/>
      <c r="V139" s="76"/>
      <c r="W139" s="76"/>
      <c r="X139" s="76"/>
    </row>
    <row r="140" spans="1:24" x14ac:dyDescent="0.25">
      <c r="A140" s="108">
        <f t="shared" si="10"/>
        <v>98000</v>
      </c>
      <c r="B140" s="65">
        <f t="shared" si="7"/>
        <v>99500</v>
      </c>
      <c r="C140" s="77"/>
      <c r="D140" s="72"/>
      <c r="E140" s="73">
        <f t="shared" si="6"/>
        <v>1.1300558703720283</v>
      </c>
      <c r="F140" s="74">
        <f>IF(A140&lt;=$C$22,IF($C$12*(1-$C$26*(EXP(A140/$C$20)-1))&gt;0,$C$12*(1-$C$26*(EXP(A140/$C$20)-1)),0),IF($C$30*(1-$C$28*(EXP((A140-$C$22)/$C$21)-1))&gt;0,$C$30*(1-$C$28*(EXP((A140-$C$22)/$C$21)-1)),0))</f>
        <v>0</v>
      </c>
      <c r="G140" s="75">
        <f>IF(A140&lt;=$C$22,($C$5-$C$8)*(F140/$C$12)^(1/$C$11)+$C$8, ($C$29-$C$8)*(F140/$C$30)^(1/$C$11)+$C$8)</f>
        <v>0</v>
      </c>
      <c r="H140" s="162">
        <f t="shared" si="8"/>
        <v>99227.948433007667</v>
      </c>
      <c r="I140" s="162">
        <f t="shared" si="9"/>
        <v>99772.051566992333</v>
      </c>
      <c r="S140" s="76"/>
      <c r="T140" s="76"/>
      <c r="U140" s="76"/>
      <c r="V140" s="76"/>
      <c r="W140" s="76"/>
      <c r="X140" s="76"/>
    </row>
    <row r="141" spans="1:24" x14ac:dyDescent="0.25">
      <c r="A141" s="108">
        <f t="shared" si="10"/>
        <v>99000</v>
      </c>
      <c r="B141" s="65">
        <f t="shared" si="7"/>
        <v>100500</v>
      </c>
      <c r="C141" s="77"/>
      <c r="D141" s="72"/>
      <c r="E141" s="73">
        <f t="shared" si="6"/>
        <v>1.0537307945750436</v>
      </c>
      <c r="F141" s="74">
        <f>IF(A141&lt;=$C$22,IF($C$12*(1-$C$26*(EXP(A141/$C$20)-1))&gt;0,$C$12*(1-$C$26*(EXP(A141/$C$20)-1)),0),IF($C$30*(1-$C$28*(EXP((A141-$C$22)/$C$21)-1))&gt;0,$C$30*(1-$C$28*(EXP((A141-$C$22)/$C$21)-1)),0))</f>
        <v>0</v>
      </c>
      <c r="G141" s="75">
        <f>IF(A141&lt;=$C$22,($C$5-$C$8)*(F141/$C$12)^(1/$C$11)+$C$8, ($C$29-$C$8)*(F141/$C$30)^(1/$C$11)+$C$8)</f>
        <v>0</v>
      </c>
      <c r="H141" s="162">
        <f t="shared" si="8"/>
        <v>100236.86734424366</v>
      </c>
      <c r="I141" s="162">
        <f t="shared" si="9"/>
        <v>100763.13265575634</v>
      </c>
      <c r="S141" s="76"/>
      <c r="T141" s="76"/>
      <c r="U141" s="76"/>
      <c r="V141" s="76"/>
      <c r="W141" s="76"/>
      <c r="X141" s="76"/>
    </row>
    <row r="142" spans="1:24" x14ac:dyDescent="0.25">
      <c r="A142" s="108">
        <f t="shared" si="10"/>
        <v>100000</v>
      </c>
      <c r="B142" s="65">
        <f t="shared" si="7"/>
        <v>101500</v>
      </c>
      <c r="C142" s="77"/>
      <c r="D142" s="72"/>
      <c r="E142" s="73">
        <f t="shared" si="6"/>
        <v>0.98256078884861897</v>
      </c>
      <c r="F142" s="74">
        <f>IF(A142&lt;=$C$22,IF($C$12*(1-$C$26*(EXP(A142/$C$20)-1))&gt;0,$C$12*(1-$C$26*(EXP(A142/$C$20)-1)),0),IF($C$30*(1-$C$28*(EXP((A142-$C$22)/$C$21)-1))&gt;0,$C$30*(1-$C$28*(EXP((A142-$C$22)/$C$21)-1)),0))</f>
        <v>0</v>
      </c>
      <c r="G142" s="75">
        <f>IF(A142&lt;=$C$22,($C$5-$C$8)*(F142/$C$12)^(1/$C$11)+$C$8, ($C$29-$C$8)*(F142/$C$30)^(1/$C$11)+$C$8)</f>
        <v>0</v>
      </c>
      <c r="H142" s="162">
        <f t="shared" si="8"/>
        <v>101245.49385878988</v>
      </c>
      <c r="I142" s="162">
        <f t="shared" si="9"/>
        <v>101754.50614121012</v>
      </c>
      <c r="S142" s="76"/>
      <c r="T142" s="76"/>
      <c r="U142" s="76"/>
      <c r="V142" s="76"/>
      <c r="W142" s="76"/>
      <c r="X142" s="76"/>
    </row>
    <row r="143" spans="1:24" x14ac:dyDescent="0.25">
      <c r="A143" s="108">
        <f t="shared" si="10"/>
        <v>101000</v>
      </c>
      <c r="B143" s="65">
        <f t="shared" si="7"/>
        <v>102500</v>
      </c>
      <c r="C143" s="77"/>
      <c r="D143" s="72"/>
      <c r="E143" s="73">
        <f t="shared" si="6"/>
        <v>0.91619767473168001</v>
      </c>
      <c r="F143" s="74">
        <f>IF(A143&lt;=$C$22,IF($C$12*(1-$C$26*(EXP(A143/$C$20)-1))&gt;0,$C$12*(1-$C$26*(EXP(A143/$C$20)-1)),0),IF($C$30*(1-$C$28*(EXP((A143-$C$22)/$C$21)-1))&gt;0,$C$30*(1-$C$28*(EXP((A143-$C$22)/$C$21)-1)),0))</f>
        <v>0</v>
      </c>
      <c r="G143" s="75">
        <f>IF(A143&lt;=$C$22,($C$5-$C$8)*(F143/$C$12)^(1/$C$11)+$C$8, ($C$29-$C$8)*(F143/$C$30)^(1/$C$11)+$C$8)</f>
        <v>0</v>
      </c>
      <c r="H143" s="162">
        <f t="shared" si="8"/>
        <v>102253.83756255002</v>
      </c>
      <c r="I143" s="162">
        <f t="shared" si="9"/>
        <v>102746.16243744998</v>
      </c>
      <c r="S143" s="76"/>
      <c r="T143" s="76"/>
      <c r="U143" s="76"/>
      <c r="V143" s="76"/>
      <c r="W143" s="76"/>
      <c r="X143" s="76"/>
    </row>
    <row r="144" spans="1:24" x14ac:dyDescent="0.25">
      <c r="A144" s="108">
        <f t="shared" si="10"/>
        <v>102000</v>
      </c>
      <c r="B144" s="65">
        <f t="shared" si="7"/>
        <v>103500</v>
      </c>
      <c r="D144" s="72"/>
      <c r="E144" s="73">
        <f t="shared" si="6"/>
        <v>0.85431679007604411</v>
      </c>
      <c r="F144" s="74">
        <f>IF(A144&lt;=$C$22,IF($C$12*(1-$C$26*(EXP(A144/$C$20)-1))&gt;0,$C$12*(1-$C$26*(EXP(A144/$C$20)-1)),0),IF($C$30*(1-$C$28*(EXP((A144-$C$22)/$C$21)-1))&gt;0,$C$30*(1-$C$28*(EXP((A144-$C$22)/$C$21)-1)),0))</f>
        <v>0</v>
      </c>
      <c r="G144" s="75">
        <f>IF(A144&lt;=$C$22,($C$5-$C$8)*(F144/$C$12)^(1/$C$11)+$C$8, ($C$29-$C$8)*(F144/$C$30)^(1/$C$11)+$C$8)</f>
        <v>0</v>
      </c>
      <c r="H144" s="162">
        <f t="shared" si="8"/>
        <v>103261.90772716449</v>
      </c>
      <c r="I144" s="162">
        <f t="shared" si="9"/>
        <v>103738.09227283551</v>
      </c>
    </row>
    <row r="145" spans="1:9" x14ac:dyDescent="0.25">
      <c r="A145" s="108">
        <f t="shared" si="10"/>
        <v>103000</v>
      </c>
      <c r="B145" s="65">
        <f t="shared" si="7"/>
        <v>104500</v>
      </c>
      <c r="D145" s="72"/>
      <c r="E145" s="73">
        <f t="shared" si="6"/>
        <v>0.79661540073170667</v>
      </c>
      <c r="F145" s="74">
        <f>IF(A145&lt;=$C$22,IF($C$12*(1-$C$26*(EXP(A145/$C$20)-1))&gt;0,$C$12*(1-$C$26*(EXP(A145/$C$20)-1)),0),IF($C$30*(1-$C$28*(EXP((A145-$C$22)/$C$21)-1))&gt;0,$C$30*(1-$C$28*(EXP((A145-$C$22)/$C$21)-1)),0))</f>
        <v>0</v>
      </c>
      <c r="G145" s="75">
        <f>IF(A145&lt;=$C$22,($C$5-$C$8)*(F145/$C$12)^(1/$C$11)+$C$8, ($C$29-$C$8)*(F145/$C$30)^(1/$C$11)+$C$8)</f>
        <v>0</v>
      </c>
      <c r="H145" s="162">
        <f t="shared" si="8"/>
        <v>104269.71332031314</v>
      </c>
      <c r="I145" s="162">
        <f t="shared" si="9"/>
        <v>104730.28667968686</v>
      </c>
    </row>
    <row r="146" spans="1:9" x14ac:dyDescent="0.25">
      <c r="A146" s="108">
        <f t="shared" si="10"/>
        <v>104000</v>
      </c>
      <c r="B146" s="65">
        <f t="shared" si="7"/>
        <v>105500</v>
      </c>
      <c r="D146" s="72"/>
      <c r="E146" s="73">
        <f t="shared" si="6"/>
        <v>0.74281121950845785</v>
      </c>
      <c r="F146" s="74">
        <f>IF(A146&lt;=$C$22,IF($C$12*(1-$C$26*(EXP(A146/$C$20)-1))&gt;0,$C$12*(1-$C$26*(EXP(A146/$C$20)-1)),0),IF($C$30*(1-$C$28*(EXP((A146-$C$22)/$C$21)-1))&gt;0,$C$30*(1-$C$28*(EXP((A146-$C$22)/$C$21)-1)),0))</f>
        <v>0</v>
      </c>
      <c r="G146" s="75">
        <f>IF(A146&lt;=$C$22,($C$5-$C$8)*(F146/$C$12)^(1/$C$11)+$C$8, ($C$29-$C$8)*(F146/$C$30)^(1/$C$11)+$C$8)</f>
        <v>0</v>
      </c>
      <c r="H146" s="162">
        <f t="shared" si="8"/>
        <v>105277.26301568032</v>
      </c>
      <c r="I146" s="162">
        <f t="shared" si="9"/>
        <v>105722.73698431968</v>
      </c>
    </row>
    <row r="147" spans="1:9" x14ac:dyDescent="0.25">
      <c r="A147" s="108">
        <f t="shared" si="10"/>
        <v>105000</v>
      </c>
      <c r="B147" s="65">
        <f t="shared" si="7"/>
        <v>106500</v>
      </c>
      <c r="D147" s="72"/>
      <c r="E147" s="73">
        <f t="shared" si="6"/>
        <v>0.69264102516827097</v>
      </c>
      <c r="F147" s="74">
        <f>IF(A147&lt;=$C$22,IF($C$12*(1-$C$26*(EXP(A147/$C$20)-1))&gt;0,$C$12*(1-$C$26*(EXP(A147/$C$20)-1)),0),IF($C$30*(1-$C$28*(EXP((A147-$C$22)/$C$21)-1))&gt;0,$C$30*(1-$C$28*(EXP((A147-$C$22)/$C$21)-1)),0))</f>
        <v>0</v>
      </c>
      <c r="G147" s="75">
        <f>IF(A147&lt;=$C$22,($C$5-$C$8)*(F147/$C$12)^(1/$C$11)+$C$8, ($C$29-$C$8)*(F147/$C$30)^(1/$C$11)+$C$8)</f>
        <v>0</v>
      </c>
      <c r="H147" s="162">
        <f t="shared" si="8"/>
        <v>106284.56520259321</v>
      </c>
      <c r="I147" s="162">
        <f t="shared" si="9"/>
        <v>106715.43479740679</v>
      </c>
    </row>
    <row r="148" spans="1:9" x14ac:dyDescent="0.25">
      <c r="A148" s="108">
        <f t="shared" si="10"/>
        <v>106000</v>
      </c>
      <c r="B148" s="65">
        <f t="shared" si="7"/>
        <v>107500</v>
      </c>
      <c r="D148" s="72"/>
      <c r="E148" s="73">
        <f t="shared" si="6"/>
        <v>0.64585937469229471</v>
      </c>
      <c r="F148" s="74">
        <f>IF(A148&lt;=$C$22,IF($C$12*(1-$C$26*(EXP(A148/$C$20)-1))&gt;0,$C$12*(1-$C$26*(EXP(A148/$C$20)-1)),0),IF($C$30*(1-$C$28*(EXP((A148-$C$22)/$C$21)-1))&gt;0,$C$30*(1-$C$28*(EXP((A148-$C$22)/$C$21)-1)),0))</f>
        <v>0</v>
      </c>
      <c r="G148" s="75">
        <f>IF(A148&lt;=$C$22,($C$5-$C$8)*(F148/$C$12)^(1/$C$11)+$C$8, ($C$29-$C$8)*(F148/$C$30)^(1/$C$11)+$C$8)</f>
        <v>0</v>
      </c>
      <c r="H148" s="162">
        <f t="shared" si="8"/>
        <v>107291.62799534407</v>
      </c>
      <c r="I148" s="162">
        <f t="shared" si="9"/>
        <v>107708.37200465593</v>
      </c>
    </row>
    <row r="149" spans="1:9" x14ac:dyDescent="0.25">
      <c r="A149" s="108">
        <f t="shared" si="10"/>
        <v>107000</v>
      </c>
      <c r="B149" s="65">
        <f t="shared" si="7"/>
        <v>108500</v>
      </c>
      <c r="D149" s="72"/>
      <c r="E149" s="73">
        <f t="shared" si="6"/>
        <v>0.60223740252258784</v>
      </c>
      <c r="F149" s="74">
        <f>IF(A149&lt;=$C$22,IF($C$12*(1-$C$26*(EXP(A149/$C$20)-1))&gt;0,$C$12*(1-$C$26*(EXP(A149/$C$20)-1)),0),IF($C$30*(1-$C$28*(EXP((A149-$C$22)/$C$21)-1))&gt;0,$C$30*(1-$C$28*(EXP((A149-$C$22)/$C$21)-1)),0))</f>
        <v>0</v>
      </c>
      <c r="G149" s="75">
        <f>IF(A149&lt;=$C$22,($C$5-$C$8)*(F149/$C$12)^(1/$C$11)+$C$8, ($C$29-$C$8)*(F149/$C$30)^(1/$C$11)+$C$8)</f>
        <v>0</v>
      </c>
      <c r="H149" s="162">
        <f t="shared" si="8"/>
        <v>108298.45924220707</v>
      </c>
      <c r="I149" s="162">
        <f t="shared" si="9"/>
        <v>108701.54075779293</v>
      </c>
    </row>
    <row r="150" spans="1:9" x14ac:dyDescent="0.25">
      <c r="A150" s="108">
        <f t="shared" si="10"/>
        <v>108000</v>
      </c>
      <c r="B150" s="65">
        <f t="shared" si="7"/>
        <v>109500</v>
      </c>
      <c r="D150" s="72"/>
      <c r="E150" s="73">
        <f t="shared" si="6"/>
        <v>0.56156170090423951</v>
      </c>
      <c r="F150" s="74">
        <f>IF(A150&lt;=$C$22,IF($C$12*(1-$C$26*(EXP(A150/$C$20)-1))&gt;0,$C$12*(1-$C$26*(EXP(A150/$C$20)-1)),0),IF($C$30*(1-$C$28*(EXP((A150-$C$22)/$C$21)-1))&gt;0,$C$30*(1-$C$28*(EXP((A150-$C$22)/$C$21)-1)),0))</f>
        <v>0</v>
      </c>
      <c r="G150" s="75">
        <f>IF(A150&lt;=$C$22,($C$5-$C$8)*(F150/$C$12)^(1/$C$11)+$C$8, ($C$29-$C$8)*(F150/$C$30)^(1/$C$11)+$C$8)</f>
        <v>0</v>
      </c>
      <c r="H150" s="162">
        <f t="shared" si="8"/>
        <v>109305.06653415934</v>
      </c>
      <c r="I150" s="162">
        <f t="shared" si="9"/>
        <v>109694.93346584066</v>
      </c>
    </row>
    <row r="151" spans="1:9" x14ac:dyDescent="0.25">
      <c r="A151" s="108">
        <f t="shared" si="10"/>
        <v>109000</v>
      </c>
      <c r="B151" s="65">
        <f t="shared" si="7"/>
        <v>110500</v>
      </c>
      <c r="D151" s="72"/>
      <c r="E151" s="73">
        <f t="shared" si="6"/>
        <v>0.52363327585027353</v>
      </c>
      <c r="F151" s="74">
        <f>IF(A151&lt;=$C$22,IF($C$12*(1-$C$26*(EXP(A151/$C$20)-1))&gt;0,$C$12*(1-$C$26*(EXP(A151/$C$20)-1)),0),IF($C$30*(1-$C$28*(EXP((A151-$C$22)/$C$21)-1))&gt;0,$C$30*(1-$C$28*(EXP((A151-$C$22)/$C$21)-1)),0))</f>
        <v>0</v>
      </c>
      <c r="G151" s="75">
        <f>IF(A151&lt;=$C$22,($C$5-$C$8)*(F151/$C$12)^(1/$C$11)+$C$8, ($C$29-$C$8)*(F151/$C$30)^(1/$C$11)+$C$8)</f>
        <v>0</v>
      </c>
      <c r="H151" s="162">
        <f t="shared" si="8"/>
        <v>110311.45721331616</v>
      </c>
      <c r="I151" s="162">
        <f t="shared" si="9"/>
        <v>110688.54278668384</v>
      </c>
    </row>
    <row r="152" spans="1:9" x14ac:dyDescent="0.25">
      <c r="A152" s="108">
        <f t="shared" si="10"/>
        <v>110000</v>
      </c>
      <c r="B152" s="65">
        <f t="shared" si="7"/>
        <v>111500</v>
      </c>
      <c r="D152" s="72"/>
      <c r="E152" s="73">
        <f t="shared" si="6"/>
        <v>0.48826657362170317</v>
      </c>
      <c r="F152" s="74">
        <f>IF(A152&lt;=$C$22,IF($C$12*(1-$C$26*(EXP(A152/$C$20)-1))&gt;0,$C$12*(1-$C$26*(EXP(A152/$C$20)-1)),0),IF($C$30*(1-$C$28*(EXP((A152-$C$22)/$C$21)-1))&gt;0,$C$30*(1-$C$28*(EXP((A152-$C$22)/$C$21)-1)),0))</f>
        <v>0</v>
      </c>
      <c r="G152" s="75">
        <f>IF(A152&lt;=$C$22,($C$5-$C$8)*(F152/$C$12)^(1/$C$11)+$C$8, ($C$29-$C$8)*(F152/$C$30)^(1/$C$11)+$C$8)</f>
        <v>0</v>
      </c>
      <c r="H152" s="162">
        <f t="shared" si="8"/>
        <v>111317.63838108964</v>
      </c>
      <c r="I152" s="162">
        <f t="shared" si="9"/>
        <v>111682.36161891036</v>
      </c>
    </row>
    <row r="153" spans="1:9" x14ac:dyDescent="0.25">
      <c r="A153" s="108">
        <f t="shared" si="10"/>
        <v>111000</v>
      </c>
      <c r="B153" s="65">
        <f t="shared" si="7"/>
        <v>112500</v>
      </c>
      <c r="D153" s="72"/>
      <c r="E153" s="73">
        <f t="shared" si="6"/>
        <v>0.45528857296007064</v>
      </c>
      <c r="F153" s="74">
        <f>IF(A153&lt;=$C$22,IF($C$12*(1-$C$26*(EXP(A153/$C$20)-1))&gt;0,$C$12*(1-$C$26*(EXP(A153/$C$20)-1)),0),IF($C$30*(1-$C$28*(EXP((A153-$C$22)/$C$21)-1))&gt;0,$C$30*(1-$C$28*(EXP((A153-$C$22)/$C$21)-1)),0))</f>
        <v>0</v>
      </c>
      <c r="G153" s="75">
        <f>IF(A153&lt;=$C$22,($C$5-$C$8)*(F153/$C$12)^(1/$C$11)+$C$8, ($C$29-$C$8)*(F153/$C$30)^(1/$C$11)+$C$8)</f>
        <v>0</v>
      </c>
      <c r="H153" s="162">
        <f t="shared" si="8"/>
        <v>112323.61690607993</v>
      </c>
      <c r="I153" s="162">
        <f t="shared" si="9"/>
        <v>112676.38309392007</v>
      </c>
    </row>
    <row r="154" spans="1:9" x14ac:dyDescent="0.25">
      <c r="A154" s="108">
        <f t="shared" si="10"/>
        <v>112000</v>
      </c>
      <c r="B154" s="65">
        <f t="shared" si="7"/>
        <v>113500</v>
      </c>
      <c r="D154" s="72"/>
      <c r="E154" s="73">
        <f t="shared" si="6"/>
        <v>0.42453793863148809</v>
      </c>
      <c r="F154" s="74">
        <f>IF(A154&lt;=$C$22,IF($C$12*(1-$C$26*(EXP(A154/$C$20)-1))&gt;0,$C$12*(1-$C$26*(EXP(A154/$C$20)-1)),0),IF($C$30*(1-$C$28*(EXP((A154-$C$22)/$C$21)-1))&gt;0,$C$30*(1-$C$28*(EXP((A154-$C$22)/$C$21)-1)),0))</f>
        <v>0</v>
      </c>
      <c r="G154" s="75">
        <f>IF(A154&lt;=$C$22,($C$5-$C$8)*(F154/$C$12)^(1/$C$11)+$C$8, ($C$29-$C$8)*(F154/$C$30)^(1/$C$11)+$C$8)</f>
        <v>0</v>
      </c>
      <c r="H154" s="162">
        <f t="shared" si="8"/>
        <v>113329.39943170769</v>
      </c>
      <c r="I154" s="162">
        <f t="shared" si="9"/>
        <v>113670.60056829231</v>
      </c>
    </row>
    <row r="155" spans="1:9" x14ac:dyDescent="0.25">
      <c r="A155" s="108">
        <f t="shared" si="10"/>
        <v>113000</v>
      </c>
      <c r="B155" s="65">
        <f t="shared" si="7"/>
        <v>114500</v>
      </c>
      <c r="D155" s="72"/>
      <c r="E155" s="73">
        <f t="shared" si="6"/>
        <v>0.39586423214113864</v>
      </c>
      <c r="F155" s="74">
        <f>IF(A155&lt;=$C$22,IF($C$12*(1-$C$26*(EXP(A155/$C$20)-1))&gt;0,$C$12*(1-$C$26*(EXP(A155/$C$20)-1)),0),IF($C$30*(1-$C$28*(EXP((A155-$C$22)/$C$21)-1))&gt;0,$C$30*(1-$C$28*(EXP((A155-$C$22)/$C$21)-1)),0))</f>
        <v>0</v>
      </c>
      <c r="G155" s="75">
        <f>IF(A155&lt;=$C$22,($C$5-$C$8)*(F155/$C$12)^(1/$C$11)+$C$8, ($C$29-$C$8)*(F155/$C$30)^(1/$C$11)+$C$8)</f>
        <v>0</v>
      </c>
      <c r="H155" s="162">
        <f t="shared" si="8"/>
        <v>114334.99238359628</v>
      </c>
      <c r="I155" s="162">
        <f t="shared" si="9"/>
        <v>114665.00761640372</v>
      </c>
    </row>
    <row r="156" spans="1:9" x14ac:dyDescent="0.25">
      <c r="A156" s="108">
        <f t="shared" si="10"/>
        <v>114000</v>
      </c>
      <c r="B156" s="65">
        <f t="shared" si="7"/>
        <v>115500</v>
      </c>
      <c r="D156" s="72"/>
      <c r="E156" s="73">
        <f t="shared" si="6"/>
        <v>0.36912717575689086</v>
      </c>
      <c r="F156" s="74">
        <f>IF(A156&lt;=$C$22,IF($C$12*(1-$C$26*(EXP(A156/$C$20)-1))&gt;0,$C$12*(1-$C$26*(EXP(A156/$C$20)-1)),0),IF($C$30*(1-$C$28*(EXP((A156-$C$22)/$C$21)-1))&gt;0,$C$30*(1-$C$28*(EXP((A156-$C$22)/$C$21)-1)),0))</f>
        <v>0</v>
      </c>
      <c r="G156" s="75">
        <f>IF(A156&lt;=$C$22,($C$5-$C$8)*(F156/$C$12)^(1/$C$11)+$C$8, ($C$29-$C$8)*(F156/$C$30)^(1/$C$11)+$C$8)</f>
        <v>0</v>
      </c>
      <c r="H156" s="162">
        <f t="shared" si="8"/>
        <v>115340.40197671216</v>
      </c>
      <c r="I156" s="162">
        <f t="shared" si="9"/>
        <v>115659.59802328784</v>
      </c>
    </row>
    <row r="157" spans="1:9" x14ac:dyDescent="0.25">
      <c r="A157" s="108">
        <f t="shared" si="10"/>
        <v>115000</v>
      </c>
      <c r="B157" s="65">
        <f t="shared" si="7"/>
        <v>116500</v>
      </c>
      <c r="D157" s="72"/>
      <c r="E157" s="73">
        <f t="shared" si="6"/>
        <v>0.34419596624147419</v>
      </c>
      <c r="F157" s="74">
        <f>IF(A157&lt;=$C$22,IF($C$12*(1-$C$26*(EXP(A157/$C$20)-1))&gt;0,$C$12*(1-$C$26*(EXP(A157/$C$20)-1)),0),IF($C$30*(1-$C$28*(EXP((A157-$C$22)/$C$21)-1))&gt;0,$C$30*(1-$C$28*(EXP((A157-$C$22)/$C$21)-1)),0))</f>
        <v>0</v>
      </c>
      <c r="G157" s="75">
        <f>IF(A157&lt;=$C$22,($C$5-$C$8)*(F157/$C$12)^(1/$C$11)+$C$8, ($C$29-$C$8)*(F157/$C$30)^(1/$C$11)+$C$8)</f>
        <v>0</v>
      </c>
      <c r="H157" s="162">
        <f t="shared" si="8"/>
        <v>116345.63422227091</v>
      </c>
      <c r="I157" s="162">
        <f t="shared" si="9"/>
        <v>116654.36577772909</v>
      </c>
    </row>
    <row r="158" spans="1:9" x14ac:dyDescent="0.25">
      <c r="A158" s="108">
        <f t="shared" si="10"/>
        <v>116000</v>
      </c>
      <c r="B158" s="65">
        <f t="shared" si="7"/>
        <v>117500</v>
      </c>
      <c r="D158" s="72"/>
      <c r="E158" s="73">
        <f t="shared" si="6"/>
        <v>0.32094863493585635</v>
      </c>
      <c r="F158" s="74">
        <f>IF(A158&lt;=$C$22,IF($C$12*(1-$C$26*(EXP(A158/$C$20)-1))&gt;0,$C$12*(1-$C$26*(EXP(A158/$C$20)-1)),0),IF($C$30*(1-$C$28*(EXP((A158-$C$22)/$C$21)-1))&gt;0,$C$30*(1-$C$28*(EXP((A158-$C$22)/$C$21)-1)),0))</f>
        <v>0</v>
      </c>
      <c r="G158" s="75">
        <f>IF(A158&lt;=$C$22,($C$5-$C$8)*(F158/$C$12)^(1/$C$11)+$C$8, ($C$29-$C$8)*(F158/$C$30)^(1/$C$11)+$C$8)</f>
        <v>0</v>
      </c>
      <c r="H158" s="162">
        <f t="shared" si="8"/>
        <v>117350.694934417</v>
      </c>
      <c r="I158" s="162">
        <f t="shared" si="9"/>
        <v>117649.305065583</v>
      </c>
    </row>
    <row r="159" spans="1:9" x14ac:dyDescent="0.25">
      <c r="A159" s="108">
        <f t="shared" si="10"/>
        <v>117000</v>
      </c>
      <c r="B159" s="65">
        <f t="shared" si="7"/>
        <v>118500</v>
      </c>
      <c r="D159" s="72"/>
      <c r="E159" s="73">
        <f t="shared" si="6"/>
        <v>0.2992714510632099</v>
      </c>
      <c r="F159" s="74">
        <f>IF(A159&lt;=$C$22,IF($C$12*(1-$C$26*(EXP(A159/$C$20)-1))&gt;0,$C$12*(1-$C$26*(EXP(A159/$C$20)-1)),0),IF($C$30*(1-$C$28*(EXP((A159-$C$22)/$C$21)-1))&gt;0,$C$30*(1-$C$28*(EXP((A159-$C$22)/$C$21)-1)),0))</f>
        <v>0</v>
      </c>
      <c r="G159" s="75">
        <f>IF(A159&lt;=$C$22,($C$5-$C$8)*(F159/$C$12)^(1/$C$11)+$C$8, ($C$29-$C$8)*(F159/$C$30)^(1/$C$11)+$C$8)</f>
        <v>0</v>
      </c>
      <c r="H159" s="162">
        <f t="shared" si="8"/>
        <v>118355.5897366846</v>
      </c>
      <c r="I159" s="162">
        <f t="shared" si="9"/>
        <v>118644.4102633154</v>
      </c>
    </row>
    <row r="160" spans="1:9" x14ac:dyDescent="0.25">
      <c r="A160" s="108">
        <f t="shared" si="10"/>
        <v>118000</v>
      </c>
      <c r="B160" s="65">
        <f t="shared" si="7"/>
        <v>119500</v>
      </c>
      <c r="D160" s="72"/>
      <c r="E160" s="73">
        <f t="shared" si="6"/>
        <v>0.27905836533431294</v>
      </c>
      <c r="F160" s="74">
        <f>IF(A160&lt;=$C$22,IF($C$12*(1-$C$26*(EXP(A160/$C$20)-1))&gt;0,$C$12*(1-$C$26*(EXP(A160/$C$20)-1)),0),IF($C$30*(1-$C$28*(EXP((A160-$C$22)/$C$21)-1))&gt;0,$C$30*(1-$C$28*(EXP((A160-$C$22)/$C$21)-1)),0))</f>
        <v>0</v>
      </c>
      <c r="G160" s="75">
        <f>IF(A160&lt;=$C$22,($C$5-$C$8)*(F160/$C$12)^(1/$C$11)+$C$8, ($C$29-$C$8)*(F160/$C$30)^(1/$C$11)+$C$8)</f>
        <v>0</v>
      </c>
      <c r="H160" s="162">
        <f t="shared" si="8"/>
        <v>119360.3240682465</v>
      </c>
      <c r="I160" s="162">
        <f t="shared" si="9"/>
        <v>119639.6759317535</v>
      </c>
    </row>
    <row r="161" spans="1:9" x14ac:dyDescent="0.25">
      <c r="A161" s="108">
        <f t="shared" si="10"/>
        <v>119000</v>
      </c>
      <c r="B161" s="65">
        <f t="shared" si="7"/>
        <v>120500</v>
      </c>
      <c r="D161" s="72"/>
      <c r="E161" s="73">
        <f t="shared" ref="E161:E168" si="11">IF(A161&lt;=$C$22,$C$18*EXP(-A161/$C$20),$C$19*EXP(-(A161-$C$22)/$C$21))</f>
        <v>0.26021049113238337</v>
      </c>
      <c r="F161" s="74">
        <f>IF(A161&lt;=$C$22,IF($C$12*(1-$C$26*(EXP(A161/$C$20)-1))&gt;0,$C$12*(1-$C$26*(EXP(A161/$C$20)-1)),0),IF($C$30*(1-$C$28*(EXP((A161-$C$22)/$C$21)-1))&gt;0,$C$30*(1-$C$28*(EXP((A161-$C$22)/$C$21)-1)),0))</f>
        <v>0</v>
      </c>
      <c r="G161" s="75">
        <f t="shared" ref="G161:G168" si="12">IF(A161&lt;=$C$22,($C$5-$C$8)*(F161/$C$12)^(1/$C$11)+$C$8, ($C$29-$C$8)*(F161/$C$30)^(1/$C$11)+$C$8)</f>
        <v>0</v>
      </c>
      <c r="H161" s="162">
        <f t="shared" si="8"/>
        <v>120364.90318995819</v>
      </c>
      <c r="I161" s="162">
        <f t="shared" si="9"/>
        <v>120635.09681004181</v>
      </c>
    </row>
    <row r="162" spans="1:9" x14ac:dyDescent="0.25">
      <c r="A162" s="108">
        <f t="shared" si="10"/>
        <v>120000</v>
      </c>
      <c r="B162" s="65">
        <f t="shared" ref="B162:B168" si="13">A162+1500</f>
        <v>121500</v>
      </c>
      <c r="D162" s="72"/>
      <c r="E162" s="73">
        <f t="shared" si="11"/>
        <v>0.24263562073919528</v>
      </c>
      <c r="F162" s="74">
        <f t="shared" ref="F162:F168" si="14">IF(A162&lt;=$C$22,IF($C$12*(1-$C$26*(EXP(A162/$C$20)-1))&gt;0,$C$12*(1-$C$26*(EXP(A162/$C$20)-1)),0),IF($C$30*(1-$C$28*(EXP((A162-$C$22)/$C$21)-1))&gt;0,$C$30*(1-$C$28*(EXP((A162-$C$22)/$C$21)-1)),0))</f>
        <v>0</v>
      </c>
      <c r="G162" s="75">
        <f t="shared" si="12"/>
        <v>0</v>
      </c>
      <c r="H162" s="162">
        <f t="shared" ref="H162:H168" si="15">IF($C$15=0,B162-$C$6/2, B162-$C$6*EXP(-B162/$C$15)/2)</f>
        <v>121369.3321902038</v>
      </c>
      <c r="I162" s="162">
        <f t="shared" ref="I162:I168" si="16">IF($C$15=0,B162+$C$6/2, B162+$C$6*EXP(-B162/$C$15)/2)</f>
        <v>121630.6678097962</v>
      </c>
    </row>
    <row r="163" spans="1:9" x14ac:dyDescent="0.25">
      <c r="A163" s="108">
        <f t="shared" si="10"/>
        <v>121000</v>
      </c>
      <c r="B163" s="65">
        <f t="shared" si="13"/>
        <v>122500</v>
      </c>
      <c r="D163" s="72"/>
      <c r="E163" s="73">
        <f t="shared" si="11"/>
        <v>0.22624777423575582</v>
      </c>
      <c r="F163" s="74">
        <f t="shared" si="14"/>
        <v>0</v>
      </c>
      <c r="G163" s="75">
        <f t="shared" si="12"/>
        <v>0</v>
      </c>
      <c r="H163" s="162">
        <f t="shared" si="15"/>
        <v>122373.61599055039</v>
      </c>
      <c r="I163" s="162">
        <f t="shared" si="16"/>
        <v>122626.38400944961</v>
      </c>
    </row>
    <row r="164" spans="1:9" x14ac:dyDescent="0.25">
      <c r="A164" s="108">
        <f t="shared" si="10"/>
        <v>122000</v>
      </c>
      <c r="B164" s="65">
        <f t="shared" si="13"/>
        <v>123500</v>
      </c>
      <c r="D164" s="72"/>
      <c r="E164" s="73">
        <f t="shared" si="11"/>
        <v>0.21096677887066989</v>
      </c>
      <c r="F164" s="74">
        <f t="shared" si="14"/>
        <v>0</v>
      </c>
      <c r="G164" s="75">
        <f t="shared" si="12"/>
        <v>0</v>
      </c>
      <c r="H164" s="162">
        <f t="shared" si="15"/>
        <v>123377.75935121687</v>
      </c>
      <c r="I164" s="162">
        <f t="shared" si="16"/>
        <v>123622.24064878313</v>
      </c>
    </row>
    <row r="165" spans="1:9" x14ac:dyDescent="0.25">
      <c r="A165" s="108">
        <f t="shared" si="10"/>
        <v>123000</v>
      </c>
      <c r="B165" s="65">
        <f t="shared" si="13"/>
        <v>124500</v>
      </c>
      <c r="D165" s="72"/>
      <c r="E165" s="73">
        <f t="shared" si="11"/>
        <v>0.19671787683837605</v>
      </c>
      <c r="F165" s="74">
        <f t="shared" si="14"/>
        <v>0</v>
      </c>
      <c r="G165" s="75">
        <f t="shared" si="12"/>
        <v>0</v>
      </c>
      <c r="H165" s="162">
        <f t="shared" si="15"/>
        <v>124381.76687636359</v>
      </c>
      <c r="I165" s="162">
        <f t="shared" si="16"/>
        <v>124618.23312363641</v>
      </c>
    </row>
    <row r="166" spans="1:9" x14ac:dyDescent="0.25">
      <c r="A166" s="108">
        <f t="shared" si="10"/>
        <v>124000</v>
      </c>
      <c r="B166" s="65">
        <f t="shared" si="13"/>
        <v>125500</v>
      </c>
      <c r="D166" s="72"/>
      <c r="E166" s="73">
        <f t="shared" si="11"/>
        <v>0.18343135954842296</v>
      </c>
      <c r="F166" s="74">
        <f t="shared" si="14"/>
        <v>0</v>
      </c>
      <c r="G166" s="75">
        <f t="shared" si="12"/>
        <v>0</v>
      </c>
      <c r="H166" s="162">
        <f t="shared" si="15"/>
        <v>125385.64301920858</v>
      </c>
      <c r="I166" s="162">
        <f t="shared" si="16"/>
        <v>125614.35698079142</v>
      </c>
    </row>
    <row r="167" spans="1:9" x14ac:dyDescent="0.25">
      <c r="A167" s="108">
        <f t="shared" si="10"/>
        <v>125000</v>
      </c>
      <c r="B167" s="65">
        <f t="shared" si="13"/>
        <v>126500</v>
      </c>
      <c r="D167" s="72"/>
      <c r="E167" s="73">
        <f t="shared" si="11"/>
        <v>0.17104222659655555</v>
      </c>
      <c r="F167" s="74">
        <f t="shared" si="14"/>
        <v>0</v>
      </c>
      <c r="G167" s="75">
        <f t="shared" si="12"/>
        <v>0</v>
      </c>
      <c r="H167" s="162">
        <f t="shared" si="15"/>
        <v>126389.39208697603</v>
      </c>
      <c r="I167" s="162">
        <f t="shared" si="16"/>
        <v>126610.60791302397</v>
      </c>
    </row>
    <row r="168" spans="1:9" ht="15.75" thickBot="1" x14ac:dyDescent="0.3">
      <c r="A168" s="109">
        <f t="shared" si="10"/>
        <v>126000</v>
      </c>
      <c r="B168" s="79">
        <f t="shared" si="13"/>
        <v>127500</v>
      </c>
      <c r="C168" s="27"/>
      <c r="D168" s="80"/>
      <c r="E168" s="81">
        <f t="shared" si="11"/>
        <v>0.15948986776922669</v>
      </c>
      <c r="F168" s="82">
        <f t="shared" si="14"/>
        <v>0</v>
      </c>
      <c r="G168" s="83">
        <f t="shared" si="12"/>
        <v>0</v>
      </c>
      <c r="H168" s="163">
        <f t="shared" si="15"/>
        <v>127393.0182456825</v>
      </c>
      <c r="I168" s="163">
        <f t="shared" si="16"/>
        <v>127606.9817543175</v>
      </c>
    </row>
    <row r="169" spans="1:9" x14ac:dyDescent="0.25">
      <c r="B169" s="67"/>
      <c r="C169" s="67"/>
      <c r="D169" s="67"/>
    </row>
  </sheetData>
  <mergeCells count="7">
    <mergeCell ref="F26:I30"/>
    <mergeCell ref="A3:D3"/>
    <mergeCell ref="F3:I3"/>
    <mergeCell ref="A10:D10"/>
    <mergeCell ref="A17:D17"/>
    <mergeCell ref="A25:D25"/>
    <mergeCell ref="F25:I25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Overview</vt:lpstr>
      <vt:lpstr>27-10-2007</vt:lpstr>
      <vt:lpstr>11-12-2007</vt:lpstr>
    </vt:vector>
  </TitlesOfParts>
  <Company>TU Delft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Remko Nijzink</dc:creator>
  <cp:lastModifiedBy>Remko Nijzink</cp:lastModifiedBy>
  <dcterms:created xsi:type="dcterms:W3CDTF">2012-10-22T12:17:07Z</dcterms:created>
  <dcterms:modified xsi:type="dcterms:W3CDTF">2012-12-21T13:45:11Z</dcterms:modified>
</cp:coreProperties>
</file>